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S:\_GRAM_VAD\GADA PĀRSKATI\2017\Koncerns &amp; Latvenergo\"/>
    </mc:Choice>
  </mc:AlternateContent>
  <bookViews>
    <workbookView xWindow="195" yWindow="-165" windowWidth="17355" windowHeight="7380" tabRatio="702"/>
  </bookViews>
  <sheets>
    <sheet name="Key Figures" sheetId="18" r:id="rId1"/>
    <sheet name="Profit or Loss" sheetId="1" r:id="rId2"/>
    <sheet name="Financial Position" sheetId="2" r:id="rId3"/>
    <sheet name="Changes in Equity" sheetId="3" r:id="rId4"/>
    <sheet name="Cash Flows" sheetId="36" r:id="rId5"/>
    <sheet name="2.29. IFRS 15" sheetId="20" r:id="rId6"/>
    <sheet name="Note 3" sheetId="15" r:id="rId7"/>
    <sheet name="Note 4" sheetId="16" r:id="rId8"/>
    <sheet name="Note 5" sheetId="4" r:id="rId9"/>
    <sheet name="Note 6" sheetId="22" r:id="rId10"/>
    <sheet name="Note 7" sheetId="24" r:id="rId11"/>
    <sheet name="Notes 8-11" sheetId="35" r:id="rId12"/>
    <sheet name="Note 12" sheetId="30" r:id="rId13"/>
    <sheet name="Note 13" sheetId="31" r:id="rId14"/>
    <sheet name="Note 14" sheetId="32" r:id="rId15"/>
    <sheet name="Notes 15" sheetId="33" r:id="rId16"/>
    <sheet name="Note 16" sheetId="34" r:id="rId17"/>
    <sheet name="Notes 17-18" sheetId="11" r:id="rId18"/>
    <sheet name="Notes 20-21" sheetId="12" r:id="rId19"/>
    <sheet name="Note 21d" sheetId="17" r:id="rId20"/>
    <sheet name="Notes 22" sheetId="13" r:id="rId21"/>
    <sheet name="Note 23-24 " sheetId="28" r:id="rId22"/>
    <sheet name="Note 25" sheetId="29" r:id="rId23"/>
  </sheets>
  <definedNames>
    <definedName name="_Hlk262201529" localSheetId="1">'Profit or Loss'!#REF!</definedName>
    <definedName name="OLE_LINK10" localSheetId="2">'Financial Position'!#REF!</definedName>
    <definedName name="OLE_LINK11" localSheetId="20">'Note 23-24 '!#REF!</definedName>
    <definedName name="OLE_LINK12" localSheetId="1">'Profit or Loss'!#REF!</definedName>
    <definedName name="OLE_LINK3" localSheetId="20">'Notes 22'!#REF!</definedName>
    <definedName name="OLE_LINK4" localSheetId="17">'Notes 17-18'!$A$103</definedName>
    <definedName name="OLE_LINK5" localSheetId="17">'Notes 17-18'!#REF!</definedName>
    <definedName name="OLE_LINK6" localSheetId="15">'Notes 15'!#REF!</definedName>
    <definedName name="_xlnm.Print_Area" localSheetId="2">'Financial Position'!$A$1:$H$55</definedName>
    <definedName name="_xlnm.Print_Titles" localSheetId="2">'Financial Position'!$1:$7</definedName>
    <definedName name="_xlnm.Print_Titles" localSheetId="17">'Notes 17-18'!$8:$8</definedName>
  </definedNames>
  <calcPr calcId="171027"/>
</workbook>
</file>

<file path=xl/calcChain.xml><?xml version="1.0" encoding="utf-8"?>
<calcChain xmlns="http://schemas.openxmlformats.org/spreadsheetml/2006/main">
  <c r="A2" i="20" l="1"/>
  <c r="B2" i="20"/>
  <c r="B1" i="20"/>
  <c r="A1" i="20"/>
  <c r="B2" i="28" l="1"/>
  <c r="B1" i="28"/>
  <c r="A2" i="28"/>
  <c r="A1" i="28"/>
  <c r="H42" i="36" l="1"/>
  <c r="G42" i="36"/>
  <c r="E42" i="36"/>
  <c r="D42" i="36"/>
  <c r="H34" i="36"/>
  <c r="G34" i="36"/>
  <c r="E34" i="36"/>
  <c r="D34" i="36"/>
  <c r="G28" i="36"/>
  <c r="G21" i="36"/>
  <c r="D21" i="36"/>
  <c r="G20" i="36"/>
  <c r="D20" i="36"/>
  <c r="H18" i="36"/>
  <c r="H22" i="36" s="1"/>
  <c r="H26" i="36" s="1"/>
  <c r="H44" i="36" s="1"/>
  <c r="H46" i="36" s="1"/>
  <c r="G45" i="36" s="1"/>
  <c r="G18" i="36"/>
  <c r="G22" i="36" s="1"/>
  <c r="G26" i="36" s="1"/>
  <c r="G44" i="36" s="1"/>
  <c r="G46" i="36" s="1"/>
  <c r="E18" i="36"/>
  <c r="E22" i="36" s="1"/>
  <c r="E26" i="36" s="1"/>
  <c r="E44" i="36" s="1"/>
  <c r="E46" i="36" s="1"/>
  <c r="D45" i="36" s="1"/>
  <c r="D18" i="36"/>
  <c r="D22" i="36" s="1"/>
  <c r="D26" i="36" s="1"/>
  <c r="D44" i="36" s="1"/>
  <c r="D46" i="36" l="1"/>
  <c r="G94" i="35"/>
  <c r="F94" i="35"/>
  <c r="C94" i="35"/>
  <c r="F82" i="35"/>
  <c r="G79" i="35"/>
  <c r="F79" i="35"/>
  <c r="D79" i="35"/>
  <c r="C79" i="35"/>
  <c r="F69" i="35"/>
  <c r="G62" i="35"/>
  <c r="F62" i="35"/>
  <c r="D62" i="35"/>
  <c r="C62" i="35"/>
  <c r="F46" i="35"/>
  <c r="F40" i="35"/>
  <c r="G39" i="35"/>
  <c r="G45" i="35" s="1"/>
  <c r="G68" i="35" s="1"/>
  <c r="G81" i="35" s="1"/>
  <c r="G37" i="35"/>
  <c r="F37" i="35"/>
  <c r="D37" i="35"/>
  <c r="C37" i="35"/>
  <c r="F19" i="35"/>
  <c r="G18" i="35"/>
  <c r="D16" i="35"/>
  <c r="F66" i="33"/>
  <c r="F130" i="32"/>
  <c r="F54" i="32"/>
  <c r="F109" i="32"/>
  <c r="F119" i="32"/>
  <c r="F58" i="30"/>
  <c r="L31" i="30"/>
  <c r="F31" i="30"/>
  <c r="F16" i="34" l="1"/>
  <c r="G23" i="34"/>
  <c r="D23" i="34"/>
  <c r="C20" i="34" s="1"/>
  <c r="C23" i="34" s="1"/>
  <c r="F20" i="34"/>
  <c r="F23" i="34" s="1"/>
  <c r="G17" i="34"/>
  <c r="F17" i="34"/>
  <c r="C16" i="34"/>
  <c r="G12" i="34"/>
  <c r="F12" i="34"/>
  <c r="D12" i="34"/>
  <c r="C12" i="34"/>
  <c r="G71" i="33"/>
  <c r="F71" i="33"/>
  <c r="D71" i="33"/>
  <c r="C71" i="33"/>
  <c r="H62" i="33"/>
  <c r="G62" i="33"/>
  <c r="F62" i="33"/>
  <c r="E62" i="33"/>
  <c r="D62" i="33"/>
  <c r="C62" i="33"/>
  <c r="D49" i="33"/>
  <c r="C49" i="33"/>
  <c r="H29" i="33"/>
  <c r="F29" i="33"/>
  <c r="H22" i="33"/>
  <c r="F22" i="33"/>
  <c r="J102" i="32"/>
  <c r="I102" i="32"/>
  <c r="H102" i="32"/>
  <c r="K102" i="32" s="1"/>
  <c r="E102" i="32"/>
  <c r="D102" i="32"/>
  <c r="C102" i="32"/>
  <c r="F102" i="32" s="1"/>
  <c r="K101" i="32"/>
  <c r="F101" i="32"/>
  <c r="K100" i="32"/>
  <c r="F100" i="32"/>
  <c r="K97" i="32"/>
  <c r="K96" i="32"/>
  <c r="K95" i="32"/>
  <c r="K90" i="32"/>
  <c r="J90" i="32"/>
  <c r="I90" i="32"/>
  <c r="H90" i="32"/>
  <c r="F90" i="32"/>
  <c r="E90" i="32"/>
  <c r="D90" i="32"/>
  <c r="C90" i="32"/>
  <c r="K89" i="32"/>
  <c r="F89" i="32"/>
  <c r="K88" i="32"/>
  <c r="F88" i="32"/>
  <c r="K85" i="32"/>
  <c r="K84" i="32"/>
  <c r="K83" i="32"/>
  <c r="K69" i="32"/>
  <c r="C69" i="32"/>
  <c r="K68" i="32"/>
  <c r="J68" i="32"/>
  <c r="K67" i="32"/>
  <c r="J67" i="32"/>
  <c r="K66" i="32"/>
  <c r="J66" i="32"/>
  <c r="K65" i="32"/>
  <c r="J65" i="32"/>
  <c r="J64" i="32"/>
  <c r="K63" i="32"/>
  <c r="J63" i="32"/>
  <c r="K61" i="32"/>
  <c r="J61" i="32"/>
  <c r="K60" i="32"/>
  <c r="H60" i="32"/>
  <c r="H69" i="32" s="1"/>
  <c r="F60" i="32"/>
  <c r="F69" i="32" s="1"/>
  <c r="J69" i="32" s="1"/>
  <c r="C60" i="32"/>
  <c r="J49" i="32"/>
  <c r="J50" i="32" s="1"/>
  <c r="I49" i="32"/>
  <c r="E49" i="32"/>
  <c r="D49" i="32"/>
  <c r="C49" i="32"/>
  <c r="M48" i="32"/>
  <c r="G48" i="32"/>
  <c r="M47" i="32"/>
  <c r="M49" i="32" s="1"/>
  <c r="L47" i="32"/>
  <c r="L49" i="32" s="1"/>
  <c r="K47" i="32"/>
  <c r="K49" i="32" s="1"/>
  <c r="K50" i="32" s="1"/>
  <c r="F47" i="32"/>
  <c r="F49" i="32" s="1"/>
  <c r="E47" i="32"/>
  <c r="K44" i="32"/>
  <c r="F44" i="32"/>
  <c r="E44" i="32"/>
  <c r="E50" i="32" s="1"/>
  <c r="C44" i="32"/>
  <c r="C50" i="32" s="1"/>
  <c r="M43" i="32"/>
  <c r="K43" i="32"/>
  <c r="D43" i="32"/>
  <c r="D44" i="32" s="1"/>
  <c r="D50" i="32" s="1"/>
  <c r="M42" i="32"/>
  <c r="G42" i="32"/>
  <c r="M41" i="32"/>
  <c r="G41" i="32"/>
  <c r="M40" i="32"/>
  <c r="I40" i="32"/>
  <c r="I39" i="32"/>
  <c r="M39" i="32" s="1"/>
  <c r="G39" i="32"/>
  <c r="L38" i="32"/>
  <c r="K38" i="32"/>
  <c r="J38" i="32"/>
  <c r="I38" i="32"/>
  <c r="M38" i="32" s="1"/>
  <c r="F38" i="32"/>
  <c r="G38" i="32" s="1"/>
  <c r="M37" i="32"/>
  <c r="G37" i="32"/>
  <c r="L36" i="32"/>
  <c r="M36" i="32" s="1"/>
  <c r="G36" i="32"/>
  <c r="L31" i="32"/>
  <c r="K31" i="32"/>
  <c r="J31" i="32"/>
  <c r="J44" i="32" s="1"/>
  <c r="M30" i="32"/>
  <c r="I29" i="32"/>
  <c r="I31" i="32" s="1"/>
  <c r="I44" i="32" s="1"/>
  <c r="J26" i="32"/>
  <c r="I26" i="32"/>
  <c r="F26" i="32"/>
  <c r="E26" i="32"/>
  <c r="D26" i="32"/>
  <c r="C26" i="32"/>
  <c r="M25" i="32"/>
  <c r="M24" i="32"/>
  <c r="M23" i="32"/>
  <c r="M22" i="32"/>
  <c r="K21" i="32"/>
  <c r="F21" i="32"/>
  <c r="M20" i="32"/>
  <c r="G20" i="32"/>
  <c r="M19" i="32"/>
  <c r="L19" i="32"/>
  <c r="G19" i="32"/>
  <c r="I37" i="31"/>
  <c r="K37" i="31" s="1"/>
  <c r="F37" i="31"/>
  <c r="D37" i="31"/>
  <c r="J36" i="31"/>
  <c r="J38" i="31" s="1"/>
  <c r="I36" i="31"/>
  <c r="I38" i="31" s="1"/>
  <c r="E36" i="31"/>
  <c r="E38" i="31" s="1"/>
  <c r="D36" i="31"/>
  <c r="D38" i="31" s="1"/>
  <c r="J33" i="31"/>
  <c r="K33" i="31" s="1"/>
  <c r="I33" i="31"/>
  <c r="H33" i="31"/>
  <c r="H38" i="31" s="1"/>
  <c r="K38" i="31" s="1"/>
  <c r="E33" i="31"/>
  <c r="D33" i="31"/>
  <c r="C33" i="31"/>
  <c r="C38" i="31" s="1"/>
  <c r="K32" i="31"/>
  <c r="F32" i="31"/>
  <c r="F33" i="31" s="1"/>
  <c r="K31" i="31"/>
  <c r="F31" i="31"/>
  <c r="E30" i="31"/>
  <c r="K29" i="31"/>
  <c r="F29" i="31"/>
  <c r="E29" i="31"/>
  <c r="K21" i="31"/>
  <c r="K20" i="31"/>
  <c r="K19" i="31"/>
  <c r="H19" i="31"/>
  <c r="K18" i="31"/>
  <c r="G72" i="30"/>
  <c r="F72" i="30"/>
  <c r="D72" i="30"/>
  <c r="C72" i="30"/>
  <c r="G69" i="30"/>
  <c r="F69" i="30"/>
  <c r="D69" i="30"/>
  <c r="C69" i="30"/>
  <c r="G62" i="30"/>
  <c r="G70" i="30" s="1"/>
  <c r="F62" i="30"/>
  <c r="F70" i="30" s="1"/>
  <c r="D62" i="30"/>
  <c r="D70" i="30" s="1"/>
  <c r="C62" i="30"/>
  <c r="C70" i="30" s="1"/>
  <c r="L51" i="30"/>
  <c r="I51" i="30"/>
  <c r="M46" i="30"/>
  <c r="L46" i="30"/>
  <c r="J46" i="30"/>
  <c r="I46" i="30"/>
  <c r="G46" i="30"/>
  <c r="F46" i="30"/>
  <c r="D46" i="30"/>
  <c r="C46" i="30"/>
  <c r="M38" i="30"/>
  <c r="M48" i="30" s="1"/>
  <c r="M54" i="30" s="1"/>
  <c r="L38" i="30"/>
  <c r="L48" i="30" s="1"/>
  <c r="L54" i="30" s="1"/>
  <c r="J38" i="30"/>
  <c r="J48" i="30" s="1"/>
  <c r="J54" i="30" s="1"/>
  <c r="I38" i="30"/>
  <c r="I48" i="30" s="1"/>
  <c r="I54" i="30" s="1"/>
  <c r="G38" i="30"/>
  <c r="G47" i="30" s="1"/>
  <c r="F38" i="30"/>
  <c r="F47" i="30" s="1"/>
  <c r="D38" i="30"/>
  <c r="D47" i="30" s="1"/>
  <c r="C38" i="30"/>
  <c r="C47" i="30" s="1"/>
  <c r="M32" i="30"/>
  <c r="L32" i="30"/>
  <c r="J32" i="30"/>
  <c r="I32" i="30"/>
  <c r="D27" i="30"/>
  <c r="G23" i="30"/>
  <c r="G27" i="30" s="1"/>
  <c r="F19" i="30" s="1"/>
  <c r="F23" i="30" s="1"/>
  <c r="D23" i="30"/>
  <c r="C19" i="30"/>
  <c r="C23" i="30" s="1"/>
  <c r="G16" i="30"/>
  <c r="F16" i="30"/>
  <c r="D16" i="30"/>
  <c r="C16" i="30"/>
  <c r="F15" i="30"/>
  <c r="C15" i="30"/>
  <c r="G14" i="30"/>
  <c r="G12" i="30"/>
  <c r="F12" i="30"/>
  <c r="D12" i="30"/>
  <c r="C12" i="30"/>
  <c r="M50" i="32" l="1"/>
  <c r="F50" i="32"/>
  <c r="I50" i="32"/>
  <c r="L21" i="32"/>
  <c r="L26" i="32" s="1"/>
  <c r="K26" i="32"/>
  <c r="M29" i="32"/>
  <c r="M31" i="32" s="1"/>
  <c r="M44" i="32" s="1"/>
  <c r="G44" i="32"/>
  <c r="L44" i="32"/>
  <c r="L50" i="32" s="1"/>
  <c r="G47" i="32"/>
  <c r="G49" i="32" s="1"/>
  <c r="G43" i="32"/>
  <c r="J60" i="32"/>
  <c r="C36" i="31"/>
  <c r="F36" i="31" s="1"/>
  <c r="F38" i="31" s="1"/>
  <c r="H36" i="31"/>
  <c r="K36" i="31" s="1"/>
  <c r="C74" i="30"/>
  <c r="C73" i="30"/>
  <c r="D74" i="30"/>
  <c r="D73" i="30"/>
  <c r="F74" i="30"/>
  <c r="F73" i="30"/>
  <c r="G74" i="30"/>
  <c r="G73" i="30"/>
  <c r="M21" i="32" l="1"/>
  <c r="M26" i="32" s="1"/>
  <c r="G50" i="32"/>
  <c r="M39" i="18"/>
  <c r="L39" i="18"/>
  <c r="K39" i="18"/>
  <c r="G39" i="18"/>
  <c r="F39" i="18"/>
  <c r="E39" i="18"/>
  <c r="C72" i="22" l="1"/>
  <c r="F53" i="22" l="1"/>
  <c r="C53" i="22"/>
  <c r="J42" i="15" l="1"/>
  <c r="H42" i="15"/>
  <c r="F42" i="15"/>
  <c r="D42" i="15"/>
  <c r="L96" i="15" l="1"/>
  <c r="K96" i="15"/>
  <c r="J96" i="15"/>
  <c r="F96" i="15"/>
  <c r="E96" i="15"/>
  <c r="D96" i="15"/>
  <c r="G94" i="15"/>
  <c r="G93" i="15"/>
  <c r="G92" i="15"/>
  <c r="M86" i="15"/>
  <c r="G86" i="15"/>
  <c r="G85" i="15"/>
  <c r="M94" i="15"/>
  <c r="M93" i="15"/>
  <c r="M92" i="15"/>
  <c r="C95" i="15"/>
  <c r="G95" i="15" s="1"/>
  <c r="M85" i="15"/>
  <c r="M87" i="15"/>
  <c r="E47" i="15"/>
  <c r="J46" i="15"/>
  <c r="J48" i="15" s="1"/>
  <c r="H46" i="15"/>
  <c r="H48" i="15" s="1"/>
  <c r="F46" i="15"/>
  <c r="D46" i="15"/>
  <c r="D48" i="15" s="1"/>
  <c r="I45" i="15"/>
  <c r="E45" i="15"/>
  <c r="I29" i="15"/>
  <c r="D29" i="15"/>
  <c r="L28" i="15"/>
  <c r="G28" i="15"/>
  <c r="K27" i="15"/>
  <c r="J27" i="15"/>
  <c r="F27" i="15"/>
  <c r="E27" i="15"/>
  <c r="I26" i="15"/>
  <c r="D26" i="15"/>
  <c r="K17" i="15"/>
  <c r="J17" i="15"/>
  <c r="F17" i="15"/>
  <c r="E17" i="15"/>
  <c r="G96" i="15" l="1"/>
  <c r="E48" i="15"/>
  <c r="C96" i="15"/>
  <c r="L89" i="15" l="1"/>
  <c r="K89" i="15"/>
  <c r="J89" i="15"/>
  <c r="M38" i="18" l="1"/>
  <c r="L38" i="18"/>
  <c r="M37" i="18"/>
  <c r="L37" i="18"/>
  <c r="M36" i="18"/>
  <c r="L36" i="18"/>
  <c r="C13" i="24" l="1"/>
  <c r="F13" i="24"/>
  <c r="G13" i="24"/>
  <c r="H58" i="15" l="1"/>
  <c r="G58" i="15"/>
  <c r="E65" i="15"/>
  <c r="H64" i="15"/>
  <c r="G64" i="15"/>
  <c r="E64" i="15"/>
  <c r="D64" i="15"/>
  <c r="H63" i="15"/>
  <c r="G63" i="15"/>
  <c r="E63" i="15"/>
  <c r="D63" i="15"/>
  <c r="H60" i="15"/>
  <c r="G60" i="15"/>
  <c r="E60" i="15"/>
  <c r="D60" i="15"/>
  <c r="H57" i="15"/>
  <c r="G57" i="15"/>
  <c r="E57" i="15"/>
  <c r="D57" i="15"/>
  <c r="H61" i="15"/>
  <c r="G61" i="15"/>
  <c r="E61" i="15"/>
  <c r="D61" i="15"/>
  <c r="H59" i="15"/>
  <c r="G59" i="15"/>
  <c r="E59" i="15"/>
  <c r="D59" i="15"/>
  <c r="F48" i="15"/>
  <c r="L30" i="15"/>
  <c r="K30" i="15"/>
  <c r="J30" i="15"/>
  <c r="E30" i="15"/>
  <c r="F30" i="15"/>
  <c r="G30" i="15"/>
  <c r="K20" i="15"/>
  <c r="J20" i="15"/>
  <c r="F20" i="15"/>
  <c r="E20" i="15"/>
  <c r="I16" i="15"/>
  <c r="D16" i="15"/>
  <c r="I19" i="15"/>
  <c r="D19" i="15"/>
  <c r="I15" i="15"/>
  <c r="H73" i="20" l="1"/>
  <c r="H72" i="20"/>
  <c r="J72" i="20" s="1"/>
  <c r="H71" i="20"/>
  <c r="I71" i="20" s="1"/>
  <c r="J71" i="20" s="1"/>
  <c r="C71" i="20"/>
  <c r="E57" i="20"/>
  <c r="H61" i="20"/>
  <c r="H60" i="20"/>
  <c r="C61" i="20"/>
  <c r="D61" i="20" s="1"/>
  <c r="E61" i="20" s="1"/>
  <c r="C60" i="20"/>
  <c r="D60" i="20" s="1"/>
  <c r="H56" i="20"/>
  <c r="I56" i="20" s="1"/>
  <c r="J56" i="20" s="1"/>
  <c r="H55" i="20"/>
  <c r="J55" i="20" s="1"/>
  <c r="C56" i="20"/>
  <c r="D56" i="20" s="1"/>
  <c r="C55" i="20"/>
  <c r="D55" i="20" s="1"/>
  <c r="H51" i="20"/>
  <c r="C51" i="20"/>
  <c r="H45" i="20"/>
  <c r="I45" i="20" s="1"/>
  <c r="C45" i="20"/>
  <c r="D45" i="20" s="1"/>
  <c r="H44" i="20"/>
  <c r="I44" i="20" s="1"/>
  <c r="J44" i="20" s="1"/>
  <c r="C44" i="20"/>
  <c r="D44" i="20" s="1"/>
  <c r="K30" i="20"/>
  <c r="J15" i="20"/>
  <c r="J14" i="20"/>
  <c r="K14" i="20" s="1"/>
  <c r="H31" i="20"/>
  <c r="H26" i="20"/>
  <c r="H21" i="20"/>
  <c r="K21" i="20" s="1"/>
  <c r="H15" i="20"/>
  <c r="K25" i="20"/>
  <c r="I61" i="20" l="1"/>
  <c r="J61" i="20" s="1"/>
  <c r="E56" i="20"/>
  <c r="I51" i="20"/>
  <c r="J51" i="20" s="1"/>
  <c r="I73" i="20"/>
  <c r="J73" i="20" s="1"/>
  <c r="E55" i="20"/>
  <c r="J45" i="20"/>
  <c r="E60" i="20"/>
  <c r="I60" i="20"/>
  <c r="J60" i="20" s="1"/>
  <c r="K31" i="20"/>
  <c r="K15" i="20"/>
  <c r="K26" i="20"/>
  <c r="I95" i="15" l="1"/>
  <c r="I47" i="15"/>
  <c r="I48" i="15" s="1"/>
  <c r="I88" i="15"/>
  <c r="I41" i="15"/>
  <c r="C88" i="15"/>
  <c r="C89" i="15" s="1"/>
  <c r="E41" i="15"/>
  <c r="D141" i="29"/>
  <c r="C141" i="29"/>
  <c r="D94" i="29"/>
  <c r="D104" i="29" s="1"/>
  <c r="D125" i="29" s="1"/>
  <c r="C94" i="29"/>
  <c r="C104" i="29" s="1"/>
  <c r="C125" i="29" s="1"/>
  <c r="G88" i="15" l="1"/>
  <c r="M95" i="15"/>
  <c r="M96" i="15" s="1"/>
  <c r="I96" i="15"/>
  <c r="M88" i="15"/>
  <c r="M89" i="15" s="1"/>
  <c r="I89" i="15"/>
  <c r="G62" i="15"/>
  <c r="H62" i="15"/>
  <c r="C66" i="20"/>
  <c r="J36" i="20"/>
  <c r="H37" i="20"/>
  <c r="H66" i="20" s="1"/>
  <c r="C37" i="20"/>
  <c r="N34" i="18"/>
  <c r="M34" i="18"/>
  <c r="L34" i="18"/>
  <c r="N32" i="18"/>
  <c r="M32" i="18"/>
  <c r="L32" i="18"/>
  <c r="N31" i="18"/>
  <c r="M31" i="18"/>
  <c r="L31" i="18"/>
  <c r="N30" i="18"/>
  <c r="M30" i="18"/>
  <c r="L30" i="18"/>
  <c r="N29" i="18"/>
  <c r="M29" i="18"/>
  <c r="L29" i="18"/>
  <c r="N28" i="18"/>
  <c r="M28" i="18"/>
  <c r="L28" i="18"/>
  <c r="G38" i="18"/>
  <c r="F38" i="18"/>
  <c r="G37" i="18"/>
  <c r="F37" i="18"/>
  <c r="G36" i="18"/>
  <c r="F36" i="18"/>
  <c r="H34" i="18"/>
  <c r="G34" i="18"/>
  <c r="F34" i="18"/>
  <c r="G33" i="18"/>
  <c r="F33" i="18"/>
  <c r="H32" i="18"/>
  <c r="G32" i="18"/>
  <c r="F32" i="18"/>
  <c r="H31" i="18"/>
  <c r="G31" i="18"/>
  <c r="F31" i="18"/>
  <c r="H30" i="18"/>
  <c r="G30" i="18"/>
  <c r="F30" i="18"/>
  <c r="H29" i="18"/>
  <c r="G29" i="18"/>
  <c r="F29" i="18"/>
  <c r="H28" i="18"/>
  <c r="G28" i="18"/>
  <c r="F28" i="18"/>
  <c r="K19" i="18"/>
  <c r="K20" i="18" s="1"/>
  <c r="J19" i="18"/>
  <c r="J20" i="18" s="1"/>
  <c r="D19" i="18"/>
  <c r="D20" i="18" s="1"/>
  <c r="E19" i="18"/>
  <c r="E20" i="18" s="1"/>
  <c r="K13" i="18"/>
  <c r="J13" i="18"/>
  <c r="K12" i="18"/>
  <c r="J12" i="18"/>
  <c r="K11" i="18"/>
  <c r="J11" i="18"/>
  <c r="K10" i="18"/>
  <c r="J10" i="18"/>
  <c r="K9" i="18"/>
  <c r="J9" i="18"/>
  <c r="D39" i="18" l="1"/>
  <c r="J39" i="18"/>
  <c r="K28" i="18"/>
  <c r="J29" i="18"/>
  <c r="J31" i="18"/>
  <c r="K29" i="18"/>
  <c r="K31" i="18"/>
  <c r="J28" i="18"/>
  <c r="J30" i="18"/>
  <c r="K30" i="18"/>
  <c r="I39" i="15" l="1"/>
  <c r="I42" i="15" s="1"/>
  <c r="H65" i="15"/>
  <c r="E39" i="15" l="1"/>
  <c r="E42" i="15" s="1"/>
  <c r="D65" i="15"/>
  <c r="G18" i="15"/>
  <c r="G20" i="15" s="1"/>
  <c r="L18" i="15" l="1"/>
  <c r="L20" i="15" s="1"/>
  <c r="G65" i="15"/>
  <c r="G27" i="22"/>
  <c r="F27" i="22"/>
  <c r="F43" i="22" l="1"/>
  <c r="F45" i="22" s="1"/>
  <c r="G43" i="22"/>
  <c r="G45" i="22" s="1"/>
  <c r="H56" i="15" l="1"/>
  <c r="H66" i="15" s="1"/>
  <c r="I23" i="15"/>
  <c r="G56" i="15"/>
  <c r="G66" i="15" s="1"/>
  <c r="I13" i="15"/>
  <c r="G152" i="11" l="1"/>
  <c r="F152" i="11"/>
  <c r="C152" i="11"/>
  <c r="D152" i="11"/>
  <c r="E30" i="20"/>
  <c r="E31" i="20"/>
  <c r="C31" i="20"/>
  <c r="E26" i="20"/>
  <c r="E25" i="20"/>
  <c r="C26" i="20"/>
  <c r="C21" i="20"/>
  <c r="E15" i="20"/>
  <c r="C15" i="20"/>
  <c r="E14" i="20"/>
  <c r="F31" i="20" l="1"/>
  <c r="I14" i="15"/>
  <c r="I20" i="15" s="1"/>
  <c r="I24" i="15"/>
  <c r="I30" i="15" s="1"/>
  <c r="D24" i="15"/>
  <c r="D56" i="15"/>
  <c r="D66" i="15" s="1"/>
  <c r="D13" i="15"/>
  <c r="D14" i="15"/>
  <c r="E56" i="15"/>
  <c r="E66" i="15" s="1"/>
  <c r="D23" i="15"/>
  <c r="F26" i="20"/>
  <c r="D30" i="15" l="1"/>
  <c r="D20" i="15"/>
  <c r="C27" i="20"/>
  <c r="H27" i="20" l="1"/>
  <c r="K27" i="20" s="1"/>
  <c r="H57" i="20"/>
  <c r="I57" i="20" s="1"/>
  <c r="J57" i="20" s="1"/>
  <c r="C62" i="20" l="1"/>
  <c r="H62" i="20"/>
  <c r="I62" i="20" s="1"/>
  <c r="J62" i="20" s="1"/>
  <c r="H32" i="20"/>
  <c r="K32" i="20" s="1"/>
  <c r="D17" i="18"/>
  <c r="J17" i="18"/>
  <c r="K17" i="18"/>
  <c r="D11" i="18"/>
  <c r="E9" i="18"/>
  <c r="D10" i="18"/>
  <c r="D9" i="18"/>
  <c r="D105" i="15" l="1"/>
  <c r="E18" i="18"/>
  <c r="C22" i="20"/>
  <c r="H16" i="20"/>
  <c r="K16" i="20" s="1"/>
  <c r="K35" i="18"/>
  <c r="C46" i="20"/>
  <c r="D35" i="18"/>
  <c r="C16" i="20"/>
  <c r="E35" i="18"/>
  <c r="G105" i="15"/>
  <c r="H22" i="20"/>
  <c r="K22" i="20" s="1"/>
  <c r="K18" i="18"/>
  <c r="C33" i="20"/>
  <c r="C32" i="20"/>
  <c r="H46" i="20"/>
  <c r="I46" i="20" s="1"/>
  <c r="J46" i="20" s="1"/>
  <c r="J35" i="18"/>
  <c r="F105" i="15"/>
  <c r="H52" i="20"/>
  <c r="I52" i="20" s="1"/>
  <c r="J52" i="20" s="1"/>
  <c r="J18" i="18"/>
  <c r="C105" i="15"/>
  <c r="C52" i="20"/>
  <c r="D18" i="18"/>
  <c r="D34" i="18" s="1"/>
  <c r="E17" i="18"/>
  <c r="D28" i="18"/>
  <c r="D33" i="18"/>
  <c r="D29" i="18"/>
  <c r="D38" i="18"/>
  <c r="C63" i="20"/>
  <c r="H33" i="20"/>
  <c r="K33" i="20" s="1"/>
  <c r="H63" i="20"/>
  <c r="I63" i="20" s="1"/>
  <c r="J63" i="20" s="1"/>
  <c r="D12" i="18"/>
  <c r="D30" i="18" s="1"/>
  <c r="C17" i="20" l="1"/>
  <c r="D106" i="15"/>
  <c r="E16" i="18"/>
  <c r="J34" i="18"/>
  <c r="J38" i="18"/>
  <c r="J37" i="18"/>
  <c r="C106" i="15"/>
  <c r="C47" i="20"/>
  <c r="D16" i="18"/>
  <c r="D32" i="18" s="1"/>
  <c r="E34" i="18"/>
  <c r="E32" i="18"/>
  <c r="K34" i="18"/>
  <c r="K38" i="18"/>
  <c r="K37" i="18"/>
  <c r="F106" i="15"/>
  <c r="H47" i="20"/>
  <c r="I47" i="20" s="1"/>
  <c r="J47" i="20" s="1"/>
  <c r="J16" i="18"/>
  <c r="J36" i="18" s="1"/>
  <c r="G106" i="15"/>
  <c r="H17" i="20"/>
  <c r="K17" i="20" s="1"/>
  <c r="K16" i="18"/>
  <c r="K36" i="18" s="1"/>
  <c r="E11" i="18"/>
  <c r="E10" i="18"/>
  <c r="G33" i="22"/>
  <c r="F33" i="22"/>
  <c r="D33" i="22"/>
  <c r="C33" i="22"/>
  <c r="D26" i="22"/>
  <c r="D27" i="22" s="1"/>
  <c r="D43" i="22" s="1"/>
  <c r="C26" i="22"/>
  <c r="C27" i="22" s="1"/>
  <c r="C43" i="22" s="1"/>
  <c r="J32" i="18" l="1"/>
  <c r="K32" i="18"/>
  <c r="D13" i="18"/>
  <c r="C73" i="20"/>
  <c r="E12" i="18"/>
  <c r="E30" i="18" s="1"/>
  <c r="E29" i="18"/>
  <c r="E38" i="18"/>
  <c r="E28" i="18"/>
  <c r="E33" i="18"/>
  <c r="D37" i="18"/>
  <c r="D36" i="18"/>
  <c r="D31" i="18"/>
  <c r="G55" i="22"/>
  <c r="F55" i="22"/>
  <c r="D55" i="22"/>
  <c r="C55" i="22"/>
  <c r="E13" i="18" l="1"/>
  <c r="E37" i="18"/>
  <c r="E36" i="18"/>
  <c r="E31" i="18"/>
  <c r="D71" i="20"/>
  <c r="E71" i="20" s="1"/>
  <c r="D45" i="22"/>
  <c r="G35" i="22" l="1"/>
  <c r="F35" i="22"/>
  <c r="D35" i="22"/>
  <c r="C35" i="22"/>
  <c r="B2" i="24" l="1"/>
  <c r="A2" i="24"/>
  <c r="B1" i="24"/>
  <c r="A1" i="24"/>
  <c r="B2" i="22"/>
  <c r="A2" i="22"/>
  <c r="B1" i="22"/>
  <c r="A1" i="22"/>
  <c r="D47" i="20"/>
  <c r="E47" i="20" s="1"/>
  <c r="D46" i="20"/>
  <c r="E46" i="20" s="1"/>
  <c r="E45" i="20"/>
  <c r="E44" i="20"/>
  <c r="D57" i="20"/>
  <c r="D52" i="20"/>
  <c r="E52" i="20" s="1"/>
  <c r="F27" i="20"/>
  <c r="F17" i="20"/>
  <c r="F16" i="20"/>
  <c r="D73" i="20"/>
  <c r="E73" i="20" s="1"/>
  <c r="D72" i="20"/>
  <c r="E72" i="20" s="1"/>
  <c r="D63" i="20"/>
  <c r="E63" i="20" s="1"/>
  <c r="D62" i="20"/>
  <c r="E62" i="20" s="1"/>
  <c r="D51" i="20"/>
  <c r="E51" i="20" s="1"/>
  <c r="F33" i="20"/>
  <c r="F32" i="20"/>
  <c r="F30" i="20"/>
  <c r="F25" i="20"/>
  <c r="F22" i="20"/>
  <c r="F21" i="20"/>
  <c r="F15" i="20"/>
  <c r="F14" i="20"/>
  <c r="E15" i="16" l="1"/>
  <c r="B1" i="13" l="1"/>
  <c r="B2" i="13"/>
  <c r="A2" i="13"/>
  <c r="A1" i="13"/>
  <c r="G69" i="12"/>
  <c r="F69" i="12"/>
  <c r="G28" i="12"/>
  <c r="F28" i="12"/>
  <c r="A2" i="12"/>
  <c r="B2" i="12"/>
  <c r="B1" i="12"/>
  <c r="A1" i="12"/>
  <c r="B1" i="11" l="1"/>
  <c r="B2" i="11"/>
  <c r="A2" i="11"/>
  <c r="A1" i="11"/>
  <c r="A2" i="4" l="1"/>
  <c r="B2" i="4"/>
  <c r="B1" i="4"/>
  <c r="A1" i="4"/>
  <c r="A2" i="16"/>
  <c r="B2" i="16"/>
  <c r="B1" i="16"/>
  <c r="A1" i="16"/>
  <c r="A2" i="15"/>
  <c r="B2" i="15"/>
  <c r="B1" i="15"/>
  <c r="A1" i="15"/>
  <c r="A2" i="3"/>
  <c r="B2" i="3"/>
  <c r="B1" i="3"/>
  <c r="A1" i="3"/>
  <c r="A2" i="2"/>
  <c r="B2" i="2"/>
  <c r="B1" i="2"/>
  <c r="A1" i="2"/>
  <c r="A2" i="1"/>
  <c r="B2" i="1"/>
  <c r="B1" i="1"/>
  <c r="A1" i="1"/>
  <c r="L7" i="15" l="1"/>
  <c r="J33" i="15" s="1"/>
  <c r="H52" i="15" s="1"/>
  <c r="G70" i="15" s="1"/>
  <c r="M80" i="15" s="1"/>
  <c r="G101" i="15" s="1"/>
  <c r="G44" i="3"/>
  <c r="H4" i="1"/>
  <c r="H4" i="2" s="1"/>
  <c r="C45" i="22" l="1"/>
  <c r="D89" i="15"/>
  <c r="E89" i="15"/>
  <c r="F89" i="15"/>
  <c r="G89" i="15"/>
</calcChain>
</file>

<file path=xl/sharedStrings.xml><?xml version="1.0" encoding="utf-8"?>
<sst xmlns="http://schemas.openxmlformats.org/spreadsheetml/2006/main" count="4190" uniqueCount="1729">
  <si>
    <t>Pielikums</t>
  </si>
  <si>
    <t>EUR’000</t>
  </si>
  <si>
    <t>Ieņēmumi</t>
  </si>
  <si>
    <t>Pārējie ieņēmumi</t>
  </si>
  <si>
    <t>Izlietotās izejvielas un materiāli</t>
  </si>
  <si>
    <t>Personāla izmaksas</t>
  </si>
  <si>
    <t>Pārējās saimnieciskās darbības izmaksas</t>
  </si>
  <si>
    <t>Saimnieciskās darbības peļņa</t>
  </si>
  <si>
    <t>Finanšu ieņēmumi</t>
  </si>
  <si>
    <t>Finanšu izmaksas</t>
  </si>
  <si>
    <t>Uzņēmumu ienākuma nodoklis</t>
  </si>
  <si>
    <t>Pārskata gada peļņa</t>
  </si>
  <si>
    <t xml:space="preserve">Attiecināma uz: </t>
  </si>
  <si>
    <t>Ieņēmumi no pamatlīdzekļu pārvērtēšanas</t>
  </si>
  <si>
    <t>Attiecināmi uz:</t>
  </si>
  <si>
    <t>AKTĪVI</t>
  </si>
  <si>
    <t>Ilgtermiņa aktīvi</t>
  </si>
  <si>
    <t>Nemateriālie ieguldījumi</t>
  </si>
  <si>
    <t>Pamatlīdzekļi</t>
  </si>
  <si>
    <t>Ieguldījuma īpašumi</t>
  </si>
  <si>
    <t>Citi ilgtermiņa debitori</t>
  </si>
  <si>
    <t>Līdz termiņa beigām turēti finanšu aktīvi</t>
  </si>
  <si>
    <t>Ilgtermiņa aktīvi kopā</t>
  </si>
  <si>
    <t>Apgrozāmie līdzekļi</t>
  </si>
  <si>
    <t>Krājumi</t>
  </si>
  <si>
    <t>Atvasinātie finanšu instrumenti</t>
  </si>
  <si>
    <t>Nauda un naudas ekvivalenti</t>
  </si>
  <si>
    <t>Apgrozāmie līdzekļi kopā</t>
  </si>
  <si>
    <t>AKTĪVU KOPSUMMA</t>
  </si>
  <si>
    <t>PAŠU KAPITĀLS</t>
  </si>
  <si>
    <t>Akciju kapitāls</t>
  </si>
  <si>
    <t>Risku ierobežošanas rezerve</t>
  </si>
  <si>
    <t>Citas rezerves</t>
  </si>
  <si>
    <t>Nesadalītā peļņa</t>
  </si>
  <si>
    <t>Mazākumakcionāru kapitāla līdzdalības daļa</t>
  </si>
  <si>
    <t>Pašu kapitāls kopā</t>
  </si>
  <si>
    <t>KREDITORI</t>
  </si>
  <si>
    <t>Ilgtermiņa kreditori</t>
  </si>
  <si>
    <t>Aizņēmumi</t>
  </si>
  <si>
    <t>Atliktā uzņēmumu ienākuma nodokļa saistības</t>
  </si>
  <si>
    <t>Pārējie kreditori un nākamo periodu ieņēmumi</t>
  </si>
  <si>
    <t>Ilgtermiņa kreditori kopā</t>
  </si>
  <si>
    <t>Īstermiņa kreditori</t>
  </si>
  <si>
    <t>Parādi piegādātājiem un pārējiem kreditoriem</t>
  </si>
  <si>
    <t>Uzņēmumu ienākuma nodokļa saistības</t>
  </si>
  <si>
    <t>Īstermiņa kreditori kopā</t>
  </si>
  <si>
    <t>PASĪVU KOPSUMMA</t>
  </si>
  <si>
    <t>Rezerves</t>
  </si>
  <si>
    <t>Kopā</t>
  </si>
  <si>
    <t>Mazākuma daļa</t>
  </si>
  <si>
    <t>KOPĀ</t>
  </si>
  <si>
    <t>EUR'000</t>
  </si>
  <si>
    <t>8, 11</t>
  </si>
  <si>
    <t>Nemateriālo ieguldījumu un pamatlīdzekļu iegāde</t>
  </si>
  <si>
    <t>Ieņēmumi no līdz termiņa beigām turēto finanšu aktīvu atsavināšanas</t>
  </si>
  <si>
    <t>Emitētie parāda vērtspapīri (obligācijas)</t>
  </si>
  <si>
    <t>Saņemtie aizņēmumi no kredītiestādēm</t>
  </si>
  <si>
    <t>Atmaksātie aizņēmumi</t>
  </si>
  <si>
    <t>Nauda un tās ekvivalenti pārskata gada sākumā</t>
  </si>
  <si>
    <t>Sadale</t>
  </si>
  <si>
    <t>Korporatīvās funkcijas</t>
  </si>
  <si>
    <t>Korekcijas un izslēgšana</t>
  </si>
  <si>
    <t>Ārējie klienti</t>
  </si>
  <si>
    <t>Starpsegmentu</t>
  </si>
  <si>
    <t>KOPĀ ieņēmumi</t>
  </si>
  <si>
    <t>Rezultāts</t>
  </si>
  <si>
    <t>Segmentu aktīvi pārskata gada beigās</t>
  </si>
  <si>
    <t>Segmentu saistības pārskata gada beigās</t>
  </si>
  <si>
    <t>Kapitālieguldījumi</t>
  </si>
  <si>
    <t>Peļņas saskaņošana</t>
  </si>
  <si>
    <t>Aktīvu saskaņošana</t>
  </si>
  <si>
    <t>Segmentu aktīvi</t>
  </si>
  <si>
    <t>Citi aktīvi un pārdošanai turētie aktīvi</t>
  </si>
  <si>
    <t>Koncerna aktīvi</t>
  </si>
  <si>
    <t>Saistību saskaņošana</t>
  </si>
  <si>
    <t>Segmentu  saistības</t>
  </si>
  <si>
    <t>Uzņēmumu ienākuma nodokļa īstermiņa saistības</t>
  </si>
  <si>
    <t>Koncerna saistības</t>
  </si>
  <si>
    <t>Neto peļņa no apgrozāmo līdzekļu pārdošanas un citi ieņēmumi</t>
  </si>
  <si>
    <t>KOPĀ pārējie ieņēmumi</t>
  </si>
  <si>
    <t>Elektroenerģija:</t>
  </si>
  <si>
    <t>Izejvielas, remontu un uzturēšanas izmaksas</t>
  </si>
  <si>
    <t>KOPĀ izlietotās izejvielas un materiāli</t>
  </si>
  <si>
    <t>Atlīdzība par darbu</t>
  </si>
  <si>
    <t>Darba attiecību izbeigšanas izmaksas</t>
  </si>
  <si>
    <t>Iemaksas pensiju plānā</t>
  </si>
  <si>
    <t>Valsts sociālās apdrošināšanas obligātās iemaksas un citi Darba koplīgumā noteiktie pabalsti</t>
  </si>
  <si>
    <t>KOPĀ personāla izmaksas, ieskaitot vadības atalgojumu</t>
  </si>
  <si>
    <t>Transporta izmaksas</t>
  </si>
  <si>
    <t>Nekustamā īpašuma nodoklis</t>
  </si>
  <si>
    <t>Nodeva par sabiedrisko pakalpojumu regulēšanu</t>
  </si>
  <si>
    <t>Citas izmaksas</t>
  </si>
  <si>
    <t>KOPĀ pārējās saimnieciskās darbības izmaksas</t>
  </si>
  <si>
    <t>Procentu ieņēmumi no kontu atlikumiem un termiņdepozītiem</t>
  </si>
  <si>
    <t>Līdz termiņa beigām turēto finanšu aktīvu kupona procentu ieņēmumi</t>
  </si>
  <si>
    <t>Neto ieņēmumi no ārvalstu valūtas kursu svārstībām</t>
  </si>
  <si>
    <t>KOPĀ finanšu ieņēmumi</t>
  </si>
  <si>
    <t>Procentu izmaksas</t>
  </si>
  <si>
    <t>Procentu izmaksas no procentu likmju mijmaiņas darījumiem</t>
  </si>
  <si>
    <t>Citas finanšu izmaksas</t>
  </si>
  <si>
    <t>KOPĀ finanšu izmaksas</t>
  </si>
  <si>
    <t>KOPĀ uzņēmumu ienākuma nodoklis</t>
  </si>
  <si>
    <t>Peļņa pirms nodokļa</t>
  </si>
  <si>
    <t>Pārskata gada sākumā</t>
  </si>
  <si>
    <t>Atliktā nodokļa saistības pārskata gada beigās</t>
  </si>
  <si>
    <t>Pārskata gada beigās</t>
  </si>
  <si>
    <t>a) Nemateriālie ieguldījumi</t>
  </si>
  <si>
    <t xml:space="preserve">  </t>
  </si>
  <si>
    <t>Izveidošanas izmaksas</t>
  </si>
  <si>
    <t>Sākotnējā vērtība</t>
  </si>
  <si>
    <t>Uzkrātā amortizācija</t>
  </si>
  <si>
    <t>Atlikusī vērtība</t>
  </si>
  <si>
    <t>Iegādāts</t>
  </si>
  <si>
    <t>Norakstīts</t>
  </si>
  <si>
    <t>Aprēķinātā amortizācija</t>
  </si>
  <si>
    <t>Iegādātās kvotas</t>
  </si>
  <si>
    <t>Izmantotās kvotas</t>
  </si>
  <si>
    <t>a) Pamatlīdzekļi</t>
  </si>
  <si>
    <t>Pārgrupēts</t>
  </si>
  <si>
    <t>Nolietojums</t>
  </si>
  <si>
    <t>PĀRVĒRTĒTĀ VĒRTĪBĀ</t>
  </si>
  <si>
    <t>IEGĀDES VĒRTĪBĀ</t>
  </si>
  <si>
    <t>Pārvērtēto AS „Latvenergo” Daugavas hidroelektrostaciju, pārvades un sadales sistēmas pamatlīdzekļu uzskaites vērtības salīdzinājumā, ja pārvērtētos pamatlīdzekļus uzskaitītu pārvērtētā un iegādes vērtībā:</t>
  </si>
  <si>
    <t>Aktīvi</t>
  </si>
  <si>
    <t>Saistības</t>
  </si>
  <si>
    <t>Meitassabiedrības:</t>
  </si>
  <si>
    <t>AS „Latvijas elektriskie tīkli”</t>
  </si>
  <si>
    <t>Latvija</t>
  </si>
  <si>
    <t>AS „Sadales tīkls”</t>
  </si>
  <si>
    <t>Elektroenerģijas sadale</t>
  </si>
  <si>
    <t>Igaunija</t>
  </si>
  <si>
    <t>Elektroenerģijas pārdošana</t>
  </si>
  <si>
    <t>Lietuva</t>
  </si>
  <si>
    <t xml:space="preserve">SIA „Liepājas enerģija” </t>
  </si>
  <si>
    <t>AS „Pirmais Slēgtais Pensiju Fonds”</t>
  </si>
  <si>
    <t>Pensiju plānu pārvaldīšana</t>
  </si>
  <si>
    <t>Pārējie krājumi</t>
  </si>
  <si>
    <t>KOPĀ krājumi</t>
  </si>
  <si>
    <t>Uzkrājumu izmaiņas</t>
  </si>
  <si>
    <t>Norakstītie krājumi</t>
  </si>
  <si>
    <t>Kavēts samaksas termiņš, bet uzkrājumi nav veidoti:</t>
  </si>
  <si>
    <t>Debitori, kam veidoti uzkrājumi:</t>
  </si>
  <si>
    <t>Kavēts samaksas termiņš, bet uzkrājumi nav veidoti, neto:</t>
  </si>
  <si>
    <t>Neto debitori, kam veidoti uzkrājumi:</t>
  </si>
  <si>
    <t>Siltumenerģijas un citi debitori, kas nav kavējuši un kuriem nav izveidoti uzkrājumi:</t>
  </si>
  <si>
    <t>Gada laikā norakstītie neatgūstamie debitoru parādi</t>
  </si>
  <si>
    <t>Uzkrājumi debitoru parādu vērtības samazinājumam</t>
  </si>
  <si>
    <t>Uzkrātie ieņēmumi</t>
  </si>
  <si>
    <t>Priekšnodoklis un pārmaksātie nodokļi</t>
  </si>
  <si>
    <t>Nākamo periodu izmaksas</t>
  </si>
  <si>
    <t>Citi īstermiņa finanšu debitori</t>
  </si>
  <si>
    <t>Nauda bankā</t>
  </si>
  <si>
    <t>Īstermiņa noguldījumi bankā</t>
  </si>
  <si>
    <t>Pamatlīdzekļu pārvērtēšanas rezerve</t>
  </si>
  <si>
    <t>Valūtas pārrēķi-nāšana</t>
  </si>
  <si>
    <t>Līdz termiņa beigām turēti finanšu aktīvi:</t>
  </si>
  <si>
    <t>KOPĀ līdz termiņa beigām turēti finanšu aktīvi</t>
  </si>
  <si>
    <t>Ilgtermiņa aizņēmumi no kredītiestādēm</t>
  </si>
  <si>
    <t>KOPĀ ilgtermiņa aizņēmumi</t>
  </si>
  <si>
    <t>Uzkrātās procentu saistības ilgtermiņa aizņēmumiem</t>
  </si>
  <si>
    <t>KOPĀ īstermiņa aizņēmumi</t>
  </si>
  <si>
    <t>KOPĀ aizņēmumi</t>
  </si>
  <si>
    <t>Saņemtie aizņēmumi</t>
  </si>
  <si>
    <t>Izmaiņas uzkrātajās procentu saistībās</t>
  </si>
  <si>
    <t>Ārvalstu investīciju bankas</t>
  </si>
  <si>
    <t>KOPĀ aizņēmumi ar mainīgo procentu likmi</t>
  </si>
  <si>
    <t xml:space="preserve">I) Atvasināto finanšu instrumentu klasifikācija un to patieso vērtību atlikumi </t>
  </si>
  <si>
    <t xml:space="preserve">  </t>
  </si>
  <si>
    <t>KOPĀ atvasināto finanšu instrumentu patiesā vērtība</t>
  </si>
  <si>
    <t>Ilgtermiņa</t>
  </si>
  <si>
    <t>Īstermiņa</t>
  </si>
  <si>
    <t>Patiesās vērtības atlikums pārskata gada sākumā</t>
  </si>
  <si>
    <t>Patiesās vērtības atlikums pārskata gada beigās</t>
  </si>
  <si>
    <r>
      <t> </t>
    </r>
    <r>
      <rPr>
        <b/>
        <sz val="8"/>
        <color indexed="8"/>
        <rFont val="Arial"/>
        <family val="2"/>
        <charset val="186"/>
      </rPr>
      <t>KOPĀ aizņēmumi</t>
    </r>
  </si>
  <si>
    <r>
      <t> </t>
    </r>
    <r>
      <rPr>
        <b/>
        <sz val="8"/>
        <color indexed="8"/>
        <rFont val="Arial"/>
        <family val="2"/>
        <charset val="186"/>
      </rPr>
      <t>KOPĀ aizņēmumi ar fiksētu procentu likmi</t>
    </r>
  </si>
  <si>
    <r>
      <t>Ilgtermiņa un īstermiņa aizņēmumi ar mainīgu procentu likmi</t>
    </r>
    <r>
      <rPr>
        <b/>
        <sz val="8"/>
        <color indexed="8"/>
        <rFont val="Arial"/>
        <family val="2"/>
        <charset val="186"/>
      </rPr>
      <t>:</t>
    </r>
  </si>
  <si>
    <t>a) Uzkrājumi pēcnodarbinātības pabalstiem</t>
  </si>
  <si>
    <t>Izmaksātie pēcnodarbinātības pabalsti</t>
  </si>
  <si>
    <t>Nākamo periodu ieņēmumi no pieslēgumu maksas</t>
  </si>
  <si>
    <t>Nākamo periodu ieņēmumi no Eiropas Savienības finansējuma</t>
  </si>
  <si>
    <t>Nākamo periodu ieņēmumi no bez atlīdzības saņemtajiem pamatlīdzekļiem</t>
  </si>
  <si>
    <t>KOPĀ pārējie kreditori un nākamo periodu ieņēmumi</t>
  </si>
  <si>
    <t>Nākamo periodu ieņēmumu no pieslēguma maksas kustība (ilgtermiņa un īstermiņa daļa)</t>
  </si>
  <si>
    <t>Finanšu saistības:</t>
  </si>
  <si>
    <t>Parādi par materiāliem un pakalpojumiem</t>
  </si>
  <si>
    <t>Uzkrātās saistības</t>
  </si>
  <si>
    <t>Pārējās īstermiņa finanšu saistības</t>
  </si>
  <si>
    <t>KOPĀ finanšu saistības</t>
  </si>
  <si>
    <t>Nefinanšu saistības:</t>
  </si>
  <si>
    <t>Saņemtie avansa maksājumi</t>
  </si>
  <si>
    <t>KOPĀ nefinanšu saistības</t>
  </si>
  <si>
    <t>KOPĀ parādi piegādātājiem un pārējiem kreditoriem</t>
  </si>
  <si>
    <t>Uzkrājumi</t>
  </si>
  <si>
    <t>Atliktā nodokļa saistības</t>
  </si>
  <si>
    <t>Revenue</t>
  </si>
  <si>
    <t xml:space="preserve">Other income </t>
  </si>
  <si>
    <t>Raw materials and consumables used</t>
  </si>
  <si>
    <t>Personnel expenses</t>
  </si>
  <si>
    <t>Other operating expenses</t>
  </si>
  <si>
    <t>Operating profit</t>
  </si>
  <si>
    <t>Finance income</t>
  </si>
  <si>
    <t>Finance costs</t>
  </si>
  <si>
    <t>Profit for the year</t>
  </si>
  <si>
    <t xml:space="preserve">Profit attributable to: </t>
  </si>
  <si>
    <t>Gains on revaluation of property, plant and equipment</t>
  </si>
  <si>
    <t xml:space="preserve">Attributable to: </t>
  </si>
  <si>
    <t>ASSETS</t>
  </si>
  <si>
    <t>Intangible assets</t>
  </si>
  <si>
    <t>Property, plant and equipment</t>
  </si>
  <si>
    <t>Investment property</t>
  </si>
  <si>
    <t>Current assets</t>
  </si>
  <si>
    <t>Inventories</t>
  </si>
  <si>
    <t>Derivative financial instruments</t>
  </si>
  <si>
    <t>Cash and cash equivalents</t>
  </si>
  <si>
    <t>Total current assets</t>
  </si>
  <si>
    <t>TOTAL ASSETS</t>
  </si>
  <si>
    <t>EQUITY</t>
  </si>
  <si>
    <t>Share capital</t>
  </si>
  <si>
    <t>Hedge reserve</t>
  </si>
  <si>
    <t>Other reserves</t>
  </si>
  <si>
    <t>Retained earnings</t>
  </si>
  <si>
    <t>Total equity</t>
  </si>
  <si>
    <t>LIABILITIES</t>
  </si>
  <si>
    <t>Borrowings</t>
  </si>
  <si>
    <t>Deferred income tax liabilities</t>
  </si>
  <si>
    <t>Other liabilities and deferred income</t>
  </si>
  <si>
    <t>Current liabilities</t>
  </si>
  <si>
    <t>Trade and other payables</t>
  </si>
  <si>
    <t>Income tax payable</t>
  </si>
  <si>
    <t>Total current liabilities</t>
  </si>
  <si>
    <t>TOTAL EQUITY AND LIABILITIES</t>
  </si>
  <si>
    <t>Cash flows from operating activities</t>
  </si>
  <si>
    <t>Profit before tax</t>
  </si>
  <si>
    <t>Interest paid</t>
  </si>
  <si>
    <t>Interest received</t>
  </si>
  <si>
    <t>Cash flows from investing activities</t>
  </si>
  <si>
    <t>Purchase of intangible assets and PPE</t>
  </si>
  <si>
    <t>Cash flows from financing activities</t>
  </si>
  <si>
    <t>Repayment of borrowings</t>
  </si>
  <si>
    <t>Cash and cash equivalents at the beginning of the year</t>
  </si>
  <si>
    <t>External customers</t>
  </si>
  <si>
    <t>Results</t>
  </si>
  <si>
    <t>Capital expenditure</t>
  </si>
  <si>
    <t>Segment operating assets</t>
  </si>
  <si>
    <t>Other assets and assets held for sale</t>
  </si>
  <si>
    <t>Segment operating liabilities</t>
  </si>
  <si>
    <t>Current corporate income tax liabilities</t>
  </si>
  <si>
    <t>Reconciliation of liabilities</t>
  </si>
  <si>
    <t>Reconciliation of profit</t>
  </si>
  <si>
    <t>Reconciliation of assets</t>
  </si>
  <si>
    <t>Heat sales</t>
  </si>
  <si>
    <t>Other revenue</t>
  </si>
  <si>
    <t>Electricity:</t>
  </si>
  <si>
    <t>Raw materials, spare parts and maintenance costs</t>
  </si>
  <si>
    <t>Wages and salaries</t>
  </si>
  <si>
    <t>Expenditure of employment termination</t>
  </si>
  <si>
    <t>Pension costs – defined contribution plan</t>
  </si>
  <si>
    <t>State social insurance contributions and other benefits defined in the Collective Agreement</t>
  </si>
  <si>
    <t>Transportation expenses</t>
  </si>
  <si>
    <t>Real estate tax</t>
  </si>
  <si>
    <t>Public utilities regulation fee</t>
  </si>
  <si>
    <t>Other expenses</t>
  </si>
  <si>
    <t>Interest income on bank accounts and deposits</t>
  </si>
  <si>
    <t>Net gain from currency exchange rate fluctuations</t>
  </si>
  <si>
    <t>Interest expense on borrowings</t>
  </si>
  <si>
    <t>Interest expense on interest rate swaps</t>
  </si>
  <si>
    <t>Other finance costs</t>
  </si>
  <si>
    <t>Receivables past due but not impaired:</t>
  </si>
  <si>
    <t>Impaired receivables:</t>
  </si>
  <si>
    <t>Net impaired receivables:</t>
  </si>
  <si>
    <t>Fully performing heating and other receivables:</t>
  </si>
  <si>
    <t>At the beginning of the year</t>
  </si>
  <si>
    <t>Receivables written off during the year as uncollectible</t>
  </si>
  <si>
    <t>At the end of the year</t>
  </si>
  <si>
    <t>Cash at bank</t>
  </si>
  <si>
    <t>Reserves</t>
  </si>
  <si>
    <t>Total</t>
  </si>
  <si>
    <t>TOTAL</t>
  </si>
  <si>
    <t>Distribution system services</t>
  </si>
  <si>
    <t>Corporate functions</t>
  </si>
  <si>
    <t>TOTAL segments</t>
  </si>
  <si>
    <t>Adjustments and eliminations</t>
  </si>
  <si>
    <t>REVENUE</t>
  </si>
  <si>
    <t>TOTAL revenue</t>
  </si>
  <si>
    <t>TOTAL personnel expenses, including remuneration to the management</t>
  </si>
  <si>
    <t>Deferred tax liabilities at the end of the year</t>
  </si>
  <si>
    <t>Software</t>
  </si>
  <si>
    <t>Cost</t>
  </si>
  <si>
    <t>Accumulated amortisation</t>
  </si>
  <si>
    <t>Net book amount</t>
  </si>
  <si>
    <t>Additions</t>
  </si>
  <si>
    <t>Disposals</t>
  </si>
  <si>
    <t>Amortisation charge</t>
  </si>
  <si>
    <t>Closing net book amount</t>
  </si>
  <si>
    <t>Allowances allocated free of charge</t>
  </si>
  <si>
    <t>Purchased allowances</t>
  </si>
  <si>
    <t>Used allowances</t>
  </si>
  <si>
    <t>Kvotu skaits / Number of allowances</t>
  </si>
  <si>
    <t>Cost or valuation</t>
  </si>
  <si>
    <t>Accumulated depreciation and impairment</t>
  </si>
  <si>
    <t>Transfers</t>
  </si>
  <si>
    <t>Impairment charge</t>
  </si>
  <si>
    <t>Depreciation</t>
  </si>
  <si>
    <t>PROPERTY, PLANT AND EQUIPMENT</t>
  </si>
  <si>
    <t>The carrying amounts of revalued property, plant and equipment of Daugava hydropower plants, transmission and distribution system assets at revalued amounts and their cost basis are as follows:</t>
  </si>
  <si>
    <t>Technology equipment and machinery</t>
  </si>
  <si>
    <t>Subsidiaries:</t>
  </si>
  <si>
    <t>Latvijas elektriskie tīkli AS</t>
  </si>
  <si>
    <t>Sadales tīkls AS</t>
  </si>
  <si>
    <t>Liepājas enerģija SIA</t>
  </si>
  <si>
    <t>Pirmais Slēgtais Pensiju Fonds AS</t>
  </si>
  <si>
    <t>Other inventories</t>
  </si>
  <si>
    <t>Inventories written off</t>
  </si>
  <si>
    <t>FINANCIAL ASSETS AND LIABILITIES</t>
  </si>
  <si>
    <t>Issued debt securities (bonds)</t>
  </si>
  <si>
    <t xml:space="preserve">At the beginning of the year </t>
  </si>
  <si>
    <t>Borrowings received</t>
  </si>
  <si>
    <t>Borrowings repaid</t>
  </si>
  <si>
    <t>Change in accrued interest on borrowings</t>
  </si>
  <si>
    <t>Foreign investment banks</t>
  </si>
  <si>
    <t>I) Outstanding fair values of derivatives and their classification</t>
  </si>
  <si>
    <t>Current</t>
  </si>
  <si>
    <t>Outstanding fair value at the beginning of the year</t>
  </si>
  <si>
    <t>Outstanding fair value at the end of the year</t>
  </si>
  <si>
    <t>PROVISIONS</t>
  </si>
  <si>
    <t>Current service cost</t>
  </si>
  <si>
    <t>Interest cost</t>
  </si>
  <si>
    <t>Deferred income on financing from European Union funds</t>
  </si>
  <si>
    <t>Deferred income from plant and equipment received free of charge</t>
  </si>
  <si>
    <t>Received fees</t>
  </si>
  <si>
    <t>Financial liabilities:</t>
  </si>
  <si>
    <t>Payables for materials and services</t>
  </si>
  <si>
    <t>Accrued expenses</t>
  </si>
  <si>
    <t>Other financial current payables</t>
  </si>
  <si>
    <t>State social security contributions and other taxes</t>
  </si>
  <si>
    <t>Advances received</t>
  </si>
  <si>
    <t>RELATED PARTY TRANSACTIONS</t>
  </si>
  <si>
    <t>Provisions</t>
  </si>
  <si>
    <t>Aizdevumi un debitori</t>
  </si>
  <si>
    <t>Riska ierobežošanas atvasinātie finanšu instrumenti</t>
  </si>
  <si>
    <t>FINANCIAL RISK MANAGEMENT</t>
  </si>
  <si>
    <t>Pārējās finanšu saistības amortizētajā iegādes vērtībā</t>
  </si>
  <si>
    <t>Saistības patiesajā vērtībā ar ietekmi uz peļņas vai zaudējumu aprēķinu</t>
  </si>
  <si>
    <t>Maksimālā kredītriska aplēse</t>
  </si>
  <si>
    <t>Citi ilgtermiņa finanšu debitori</t>
  </si>
  <si>
    <t>Naudas un īstermiņa depozītu sadalījums pēc finanšu darījumu partneriem pēc stāvokļa uz pārskata gada beigām atspoguļots šajā tabulā:</t>
  </si>
  <si>
    <t>Bez investīciju līmeņa vai bez kredītreitinga</t>
  </si>
  <si>
    <t>Likviditātes analīze (līgumiskas nediskontētas naudas plūsmas)</t>
  </si>
  <si>
    <t>Mazāk par 1 gadu</t>
  </si>
  <si>
    <t>Pašu kapitāla rādītājs</t>
  </si>
  <si>
    <t>4.  BŪTISKAS GRĀMATVEDĪBAS APLĒSES UN NOVĒRTĒJUMI</t>
  </si>
  <si>
    <t>1. līmenis</t>
  </si>
  <si>
    <t>2. līmenis</t>
  </si>
  <si>
    <t>3. līmenis</t>
  </si>
  <si>
    <t>KOPĀ aktīvi</t>
  </si>
  <si>
    <t>KOPĀ saistības</t>
  </si>
  <si>
    <t>c) Finanšu instrumentu patiesā vērtība</t>
  </si>
  <si>
    <t>Loans and receivables</t>
  </si>
  <si>
    <t>Derivatives used for hedging</t>
  </si>
  <si>
    <t>Assessment of maximum possible exposure to credit risk</t>
  </si>
  <si>
    <t>Accrued income</t>
  </si>
  <si>
    <t>Other current financial receivables</t>
  </si>
  <si>
    <t>The table below shows the balance of cash and cash equivalents by financial counterparties at the end of the reporting period:</t>
  </si>
  <si>
    <t>Liquidity analysis (contractual undiscounted cash flows)</t>
  </si>
  <si>
    <t>Capital Ratio</t>
  </si>
  <si>
    <t>Less than 1 year</t>
  </si>
  <si>
    <t>Other financial liabilities at amortised cost</t>
  </si>
  <si>
    <t>Assets</t>
  </si>
  <si>
    <t>Total assets</t>
  </si>
  <si>
    <t>Liabilities</t>
  </si>
  <si>
    <t>Total liabilities</t>
  </si>
  <si>
    <t>Financial assets at fair value through profit or loss:</t>
  </si>
  <si>
    <t>Revalued</t>
  </si>
  <si>
    <t>Accumulated depreciation</t>
  </si>
  <si>
    <t>Revalued net book amount</t>
  </si>
  <si>
    <t>Atrašanās vieta / Country of incorpo-ration</t>
  </si>
  <si>
    <t>Uzņēmēj-darbības veids / Business activity
held</t>
  </si>
  <si>
    <t>TOTAL raw materials and consumables used</t>
  </si>
  <si>
    <t>TOTAL other income</t>
  </si>
  <si>
    <t>Neto zaudējumi no līdz termiņa beigām turēto finanšu aktīvu atsavināšanas</t>
  </si>
  <si>
    <t>Neto ieņēmumi no emitēto parāda vērtspapīru (obligāciju) vērtības izmaiņām</t>
  </si>
  <si>
    <t>Net gain on issued debt securities (bonds)</t>
  </si>
  <si>
    <t>TOTAL finance income</t>
  </si>
  <si>
    <t>TOTAL finance costs</t>
  </si>
  <si>
    <t>TOTAL other operating expenses</t>
  </si>
  <si>
    <t>Interest expense on issued debt securities (bonds)</t>
  </si>
  <si>
    <t>Emitēto parāda vērtspapīru (obligāciju) kupona procentu izmaksas</t>
  </si>
  <si>
    <t>Elektroenerģijas pārvades sistēmas pakalpojuma izmaksas</t>
  </si>
  <si>
    <t>Electricity transmission services costs</t>
  </si>
  <si>
    <t>Net gain from sale of current assets and other income</t>
  </si>
  <si>
    <t>Net gain from sale of assets held for sale and PPE</t>
  </si>
  <si>
    <t>Neto peļņa no pārdošanai turēto aktīvu un pamatlīdzekļu pārdošanas</t>
  </si>
  <si>
    <t>Mazākumdaļai izmaksātās dividendes</t>
  </si>
  <si>
    <t>No 1 līdz 2 gadiem</t>
  </si>
  <si>
    <t>No 3 līdz 5 gadiem</t>
  </si>
  <si>
    <t>From 1 to 2 years</t>
  </si>
  <si>
    <t>From 3 to 5 years</t>
  </si>
  <si>
    <t>Over 5 years</t>
  </si>
  <si>
    <t>Financial liabilities at fair value through profit or loss:</t>
  </si>
  <si>
    <t>Uzkrātās saistības emitēto parāda vērtspapīru (obligāciju) kupona procentu izmaksām</t>
  </si>
  <si>
    <t>Accrued coupon interest on issued debt securities (bonds)</t>
  </si>
  <si>
    <t>Komercbankas</t>
  </si>
  <si>
    <t>Commercial banks</t>
  </si>
  <si>
    <t>Akciju kapitāla palielinājums</t>
  </si>
  <si>
    <t>Increase in share capital</t>
  </si>
  <si>
    <t>Segment assets at the end of the year</t>
  </si>
  <si>
    <t>Segment liabilities at the end of the year</t>
  </si>
  <si>
    <t>Fair value gain on interest rate swaps (Note 21 c, II)</t>
  </si>
  <si>
    <t>Proceeds from issued debt securities (bonds)</t>
  </si>
  <si>
    <t>Ieņēmumi no parāda vērtspapīru (obligāciju) emisijas</t>
  </si>
  <si>
    <t>Aizņēmumi no bankām</t>
  </si>
  <si>
    <t>Borrowings from banks</t>
  </si>
  <si>
    <t>Segment profit</t>
  </si>
  <si>
    <r>
      <t xml:space="preserve">Segmentu </t>
    </r>
    <r>
      <rPr>
        <b/>
        <sz val="8"/>
        <color indexed="8"/>
        <rFont val="Arial"/>
        <family val="2"/>
        <charset val="186"/>
      </rPr>
      <t>peļņa</t>
    </r>
  </si>
  <si>
    <t>Novērtēšanas datums</t>
  </si>
  <si>
    <t>Patiesās vērtības novērtējums</t>
  </si>
  <si>
    <t xml:space="preserve">Kotētās tirgus cenas </t>
  </si>
  <si>
    <t>(1. līmenis)</t>
  </si>
  <si>
    <t xml:space="preserve">Uz novērojamiem tirgus datiem balstīti pieņēmumi </t>
  </si>
  <si>
    <t>(2. līmenis)</t>
  </si>
  <si>
    <t>Patiesajā vērtībā novērtētie aktīvi</t>
  </si>
  <si>
    <t>Atvasinātie finanšu instrumenti, t.sk.:</t>
  </si>
  <si>
    <t>Procentu likmju mijmaiņas darījumi</t>
  </si>
  <si>
    <t>Aktīvi, kuri atklāti patiesajā vērtībā</t>
  </si>
  <si>
    <t>Patiesajā vērtībā novērtētās saistības</t>
  </si>
  <si>
    <t>Saistības, kuras atklātas patiesajā vērtībā</t>
  </si>
  <si>
    <t>Uzskaites vērtība</t>
  </si>
  <si>
    <t>Patiesā vērtība</t>
  </si>
  <si>
    <t>Finanšu aktīvi</t>
  </si>
  <si>
    <t>Finanšu saistības</t>
  </si>
  <si>
    <t>Procentu likmju izmaiņām pakļautās saistības, t.sk.:</t>
  </si>
  <si>
    <t>Atvasinātie finanšu instrumenti, kas neatbilst risku ierobežošanas prasībām, t.sk.:</t>
  </si>
  <si>
    <t>Atvasinātie finanšu instrumenti atbilstoši risku ierobežošanas prasībām, t.sk.:</t>
  </si>
  <si>
    <t>Assets measured at fair value</t>
  </si>
  <si>
    <t>Derivative financial instruments, including:</t>
  </si>
  <si>
    <t>Interest rate swaps</t>
  </si>
  <si>
    <t>Assets for which fair values are disclosed</t>
  </si>
  <si>
    <t>Liabilities measured at fair value</t>
  </si>
  <si>
    <t>Liabilities for which fair values are disclosed</t>
  </si>
  <si>
    <t>Financial assets</t>
  </si>
  <si>
    <t>Financial liabilities</t>
  </si>
  <si>
    <t>Derivative financial instruments not designated for hedging, including:</t>
  </si>
  <si>
    <t>Derivative financial instruments used for hedging, including:</t>
  </si>
  <si>
    <t>Date of valuation</t>
  </si>
  <si>
    <t>Fair value measurement using</t>
  </si>
  <si>
    <t xml:space="preserve">Quoted prices in active markets </t>
  </si>
  <si>
    <t>(Level 1)</t>
  </si>
  <si>
    <t xml:space="preserve">Significant observable inputs </t>
  </si>
  <si>
    <t>(Level 2)</t>
  </si>
  <si>
    <t xml:space="preserve">Significant unobservable inputs </t>
  </si>
  <si>
    <t>(Level 3)</t>
  </si>
  <si>
    <t>Carrying amount</t>
  </si>
  <si>
    <t>Fair value</t>
  </si>
  <si>
    <t>Pielikums Notes</t>
  </si>
  <si>
    <t>Pamatdarbības naudas plūsma</t>
  </si>
  <si>
    <t>Korekcijas:</t>
  </si>
  <si>
    <t>Saimnieciskās darbības peļņa pirms apgrozāmā kapitāla izmaiņām</t>
  </si>
  <si>
    <t>Nauda pamatdarbības rezultātā</t>
  </si>
  <si>
    <t>Izdevumi procentu maksājumiem</t>
  </si>
  <si>
    <t>Ieņēmumi no procentu maksājumiem</t>
  </si>
  <si>
    <t>Pamatdarbības neto naudas plūsma</t>
  </si>
  <si>
    <t>Ieguldīšanas darbības neto naudas plūsma</t>
  </si>
  <si>
    <t>Ieguldīšanas darbības naudas plūsma</t>
  </si>
  <si>
    <t>Finansēšanas darbības naudas plūsma</t>
  </si>
  <si>
    <t>Finansēšanas darbības neto naudas plūsma</t>
  </si>
  <si>
    <t>Notes</t>
  </si>
  <si>
    <t>Pašu kapitāla rādītāji</t>
  </si>
  <si>
    <t>The capital ratio figures</t>
  </si>
  <si>
    <t>Vairāk par 5 gadiem</t>
  </si>
  <si>
    <t>Pašu kapitāls, kopā</t>
  </si>
  <si>
    <t>Proceeds on financing from EU funds and other financing</t>
  </si>
  <si>
    <t>Saņemtais Eiropas Savienības fondu finansējums un citi finansējumi</t>
  </si>
  <si>
    <t>Total balance</t>
  </si>
  <si>
    <t>Level 1</t>
  </si>
  <si>
    <t>Level 2</t>
  </si>
  <si>
    <t>Level 3</t>
  </si>
  <si>
    <t>Procentu likmju mijmaiņas darījumi atbilstoši riska ierobežošanas uzskaitei</t>
  </si>
  <si>
    <t>Interest rate derivatives used for hedging</t>
  </si>
  <si>
    <t>6.   IEŅĒMUMI</t>
  </si>
  <si>
    <t>10. PĀRĒJĀS SAIMNIECISKĀS DARBĪBAS IZMAKSAS</t>
  </si>
  <si>
    <t>a) Finanšu ieņēmumi</t>
  </si>
  <si>
    <t>a) Finance income</t>
  </si>
  <si>
    <t>b) Finanšu izmaksas</t>
  </si>
  <si>
    <t>b) Finance costs</t>
  </si>
  <si>
    <t>Kapitalizētās personāla izmaksas</t>
  </si>
  <si>
    <t>Capitalised personnel expenses</t>
  </si>
  <si>
    <t>a) Intangible assets</t>
  </si>
  <si>
    <t>a) Property, plant and equipment</t>
  </si>
  <si>
    <t>AT REVALUED AMOUNTS</t>
  </si>
  <si>
    <t>AT AMOUNTS STATED ON HISTORICAL COST BASIS</t>
  </si>
  <si>
    <t>Latvia</t>
  </si>
  <si>
    <t>Electricity distribution</t>
  </si>
  <si>
    <t>Lithuania</t>
  </si>
  <si>
    <t>Estonia</t>
  </si>
  <si>
    <t>Electricity supply</t>
  </si>
  <si>
    <t xml:space="preserve">Thermal energy generation and supply in Liepaja city, electricity generation </t>
  </si>
  <si>
    <t>Management of pension plans</t>
  </si>
  <si>
    <t>KOPĀ nauda un naudas ekvivalenti</t>
  </si>
  <si>
    <t>Ar pamatlīdzekļu pārvērtēšanas rezervi saistītais atliktais nodoklis</t>
  </si>
  <si>
    <t>Ieņēmumi no atvasināto finanšu instrumentu patiesās vērtības izmaiņām</t>
  </si>
  <si>
    <t>Gains from fair value changes in derivative financial instruments</t>
  </si>
  <si>
    <t>b)    Aizņēmumi</t>
  </si>
  <si>
    <t>b)    Borrowings</t>
  </si>
  <si>
    <t>c) Derivative financial instruments</t>
  </si>
  <si>
    <t>c) Atvasinātie finanšu instrumenti</t>
  </si>
  <si>
    <t>II) Procentu likmju mijmaiņas darījumi</t>
  </si>
  <si>
    <t>II) Interest rate swaps</t>
  </si>
  <si>
    <t>21 d) Patiesās vērtības un to novērtēšana</t>
  </si>
  <si>
    <t>(3. līmenis)</t>
  </si>
  <si>
    <t>Pieņēmumi, kas nav balstīti uz novērojamiem tirgus datiem</t>
  </si>
  <si>
    <t>Pieņēmumi</t>
  </si>
  <si>
    <t>Diskonta likme</t>
  </si>
  <si>
    <t>Darba samaksas nākotnes izmaiņas</t>
  </si>
  <si>
    <t>Darba attiecību izbeigšanas varbūtība</t>
  </si>
  <si>
    <t>Uzkrājumu pēcnodarbinātības pabalstiem izmaiņas</t>
  </si>
  <si>
    <t>Assumptions</t>
  </si>
  <si>
    <t>Discount rate</t>
  </si>
  <si>
    <t>Future salary changes</t>
  </si>
  <si>
    <t>Retirement probability changes</t>
  </si>
  <si>
    <t>1% increase</t>
  </si>
  <si>
    <t>1% decrease</t>
  </si>
  <si>
    <t>Valsts sociālās apdrošināšanas obligātās iemaksas un pārējie nodokļi</t>
  </si>
  <si>
    <t>Deferred expenses</t>
  </si>
  <si>
    <t>Naudas līdzekļi ar ierobežojumiem*</t>
  </si>
  <si>
    <t>Restricted cash and cash equivalents*</t>
  </si>
  <si>
    <t>Currency translation</t>
  </si>
  <si>
    <t>Ilgtermiņa un īstermiņa aizņēmumi ar fiksētu procentu likmi:</t>
  </si>
  <si>
    <t>Dabas aizsardzības un darba drošības izmaksas</t>
  </si>
  <si>
    <t>Neto zaudējumi no emitēto parāda vērtspapīru (obligāciju) vērtības izmaiņām</t>
  </si>
  <si>
    <t>Net losses on issued debt securities (bonds)</t>
  </si>
  <si>
    <t>Neto zaudējumi no ārvalstu valūtas kursu svārstībām</t>
  </si>
  <si>
    <t>Net losses on currency exchange rate fluctuations</t>
  </si>
  <si>
    <t>Kārtējās darba izmaksas</t>
  </si>
  <si>
    <t>Pārklasificēts uz ieguldījuma īpašumiem</t>
  </si>
  <si>
    <t>Reclassified to investment property</t>
  </si>
  <si>
    <t>c) Pamatlīdzekļu pārvērtēšana</t>
  </si>
  <si>
    <t>c) Property, plant and equipment revaluation</t>
  </si>
  <si>
    <t>b) Ieguldījuma īpašumi</t>
  </si>
  <si>
    <t>b) Investment property</t>
  </si>
  <si>
    <t>Atlikusī vērtība gada sākumā</t>
  </si>
  <si>
    <t>Pārdots</t>
  </si>
  <si>
    <t>Atlikusī vērtība gada beigās</t>
  </si>
  <si>
    <t>Net book amount at the beginning of the year</t>
  </si>
  <si>
    <t>Sold</t>
  </si>
  <si>
    <t>Net book amount at the end of the year</t>
  </si>
  <si>
    <t>Aktīvi, kopā</t>
  </si>
  <si>
    <t>Peļņa</t>
  </si>
  <si>
    <t xml:space="preserve">Aktīvi </t>
  </si>
  <si>
    <t xml:space="preserve">Ilgtermiņa aktīvi </t>
  </si>
  <si>
    <t xml:space="preserve">Pašu kapitāls </t>
  </si>
  <si>
    <t xml:space="preserve">Aizņēmumi </t>
  </si>
  <si>
    <t>DARBĪBAS RĀDĪTĀJI</t>
  </si>
  <si>
    <t>GWh</t>
  </si>
  <si>
    <t>Baa3 (stable)</t>
  </si>
  <si>
    <t>Profit</t>
  </si>
  <si>
    <t>Net cash flows from operating activities</t>
  </si>
  <si>
    <t>Number of employees at the end of the year</t>
  </si>
  <si>
    <t>KEY FIGURES</t>
  </si>
  <si>
    <t>a) Rezerves</t>
  </si>
  <si>
    <t>a) Reserves</t>
  </si>
  <si>
    <t>Samazinātā peļņa uz vienu akciju (eiro)</t>
  </si>
  <si>
    <t>Pamatpeļņa uz vienu akciju (eiro)</t>
  </si>
  <si>
    <t>Basic earnings per share (in euros)</t>
  </si>
  <si>
    <t>Diluted earnings per share (in euros)</t>
  </si>
  <si>
    <t>c) Peļņa uz akciju</t>
  </si>
  <si>
    <t>c) Earnings per share</t>
  </si>
  <si>
    <t>Weighted average number of shares (thousand)</t>
  </si>
  <si>
    <t>Vidējais svērtais akciju skaits (tūkstošos)</t>
  </si>
  <si>
    <t>Ilgtermiņa finanšu ieguldījumi</t>
  </si>
  <si>
    <t>Darbinieku skaits pārskata gada beigās</t>
  </si>
  <si>
    <t>Vidējais darbinieku skaits pārskata gadā</t>
  </si>
  <si>
    <t>Average number of employees during the year</t>
  </si>
  <si>
    <t>–</t>
  </si>
  <si>
    <t>Elektroenerģijas obligātā iepirkuma administrēšana</t>
  </si>
  <si>
    <t>Management of the mandatory procurement process</t>
  </si>
  <si>
    <t>Pārējie ilgtermiņa finanšu ieguldījumi:</t>
  </si>
  <si>
    <t>Thermal energy generation and supply in Riga, electricity generation</t>
  </si>
  <si>
    <t>0,0051%</t>
  </si>
  <si>
    <t>TOTAL trade and other current payables</t>
  </si>
  <si>
    <t>TOTAL other liabilities and deferred income</t>
  </si>
  <si>
    <t>Zemāk ir atspoguļoti nozīmīgāko uzkrājuma apjomu ietekmējošo pieņēmumu jūtīguma analīzes rādītāji pārskata gada beigās:</t>
  </si>
  <si>
    <t>A quantitative sensitivity analysis for significant assumptions as at the end of the year is as shown below:</t>
  </si>
  <si>
    <t>Post–employment benefits paid</t>
  </si>
  <si>
    <t>a) Provisions for post–employment benefits</t>
  </si>
  <si>
    <r>
      <t>–</t>
    </r>
    <r>
      <rPr>
        <sz val="7"/>
        <color indexed="8"/>
        <rFont val="Arial"/>
        <family val="2"/>
        <charset val="186"/>
      </rPr>
      <t> </t>
    </r>
    <r>
      <rPr>
        <sz val="8"/>
        <color indexed="8"/>
        <rFont val="Arial"/>
        <family val="2"/>
        <charset val="186"/>
      </rPr>
      <t>procentu likmju mijmaiņas darījumi</t>
    </r>
  </si>
  <si>
    <r>
      <t>–</t>
    </r>
    <r>
      <rPr>
        <sz val="7"/>
        <color indexed="8"/>
        <rFont val="Arial"/>
        <family val="2"/>
        <charset val="186"/>
      </rPr>
      <t> </t>
    </r>
    <r>
      <rPr>
        <sz val="8"/>
        <color indexed="8"/>
        <rFont val="Arial"/>
        <family val="2"/>
        <charset val="186"/>
      </rPr>
      <t>ar elektroenerģijas tirdzniecību saistītie instrumenti</t>
    </r>
  </si>
  <si>
    <t>– aizņēmumi ar fiksētām procentu likmēm</t>
  </si>
  <si>
    <t>– aizņēmumi ar mainīgām procentu likmēm</t>
  </si>
  <si>
    <r>
      <t>–</t>
    </r>
    <r>
      <rPr>
        <sz val="7"/>
        <color indexed="8"/>
        <rFont val="Arial"/>
        <family val="2"/>
        <charset val="186"/>
      </rPr>
      <t> </t>
    </r>
    <r>
      <rPr>
        <sz val="8"/>
        <color indexed="8"/>
        <rFont val="Arial"/>
        <family val="2"/>
        <charset val="186"/>
      </rPr>
      <t>emitētie parāda vērtspapīri (obligācijas)</t>
    </r>
  </si>
  <si>
    <t>Held–to–maturity financial assets</t>
  </si>
  <si>
    <t>Interest–bearing liabilities, including:</t>
  </si>
  <si>
    <t>– interest rate swaps</t>
  </si>
  <si>
    <t>– fixed rate borrowings</t>
  </si>
  <si>
    <t>– floating rate borrowings</t>
  </si>
  <si>
    <t>– issued debt securities (bonds)</t>
  </si>
  <si>
    <t>– electricity forwards and futures</t>
  </si>
  <si>
    <t>Electricity forwards and futures</t>
  </si>
  <si>
    <t>Elektroenerģijas cenu nākotnes darījumi</t>
  </si>
  <si>
    <t>Iekļauts vispārējos ieņēmumos (20. a pielikums)</t>
  </si>
  <si>
    <t>Included in other comprehensive income (Note 20 a)</t>
  </si>
  <si>
    <t>III) Elektroenerģijas cenu nākotnes darījumi</t>
  </si>
  <si>
    <t>III) Electricity forwards and futures</t>
  </si>
  <si>
    <t>21 c, II</t>
  </si>
  <si>
    <t>21 c, III</t>
  </si>
  <si>
    <t>– &lt; 1 year</t>
  </si>
  <si>
    <t>– 1–5 years</t>
  </si>
  <si>
    <t>– &gt; 5 years</t>
  </si>
  <si>
    <t>– 1 gads vai mazāk</t>
  </si>
  <si>
    <t>– 1–5 gadi</t>
  </si>
  <si>
    <t>– virs 5 gadiem</t>
  </si>
  <si>
    <t>– 1 gads vai mazāk (ilgtermiņa aizņēmumu īstermiņa daļa)</t>
  </si>
  <si>
    <t>Accrued interest on non–current borrowings</t>
  </si>
  <si>
    <t xml:space="preserve">     – current</t>
  </si>
  <si>
    <t xml:space="preserve">      – īstermiņa daļa</t>
  </si>
  <si>
    <t xml:space="preserve">      – ilgtermiņa daļa</t>
  </si>
  <si>
    <t>Held–to–maturity financial assets:</t>
  </si>
  <si>
    <t>Non–current borrowings from financial institutions</t>
  </si>
  <si>
    <t>Deferred tax related to non–current assets revaluation reserve</t>
  </si>
  <si>
    <t>– &lt; 1 year (current portion of non–current borrowings)</t>
  </si>
  <si>
    <t>Fixed rate non–current and current borrowings:</t>
  </si>
  <si>
    <t>Floating rate non–current and current borrowings:</t>
  </si>
  <si>
    <t xml:space="preserve">     – non–current</t>
  </si>
  <si>
    <t>21 c, I</t>
  </si>
  <si>
    <t>RESERVES, DIVIDENDS AND EARNINGS PER SHARE</t>
  </si>
  <si>
    <t>Short–term bank deposits</t>
  </si>
  <si>
    <t>‒</t>
  </si>
  <si>
    <t>Pre‒tax and overpaid taxes</t>
  </si>
  <si>
    <r>
      <t xml:space="preserve">‒   </t>
    </r>
    <r>
      <rPr>
        <sz val="8"/>
        <color indexed="8"/>
        <rFont val="Arial"/>
        <family val="2"/>
        <charset val="186"/>
      </rPr>
      <t>klienti, kuri nav kavējuši maksājumu termiņus</t>
    </r>
  </si>
  <si>
    <r>
      <t xml:space="preserve">‒   </t>
    </r>
    <r>
      <rPr>
        <sz val="8"/>
        <color indexed="8"/>
        <rFont val="Arial"/>
        <family val="2"/>
        <charset val="186"/>
      </rPr>
      <t>klienti, kuri ir kavējuši maksājumu termiņus</t>
    </r>
  </si>
  <si>
    <r>
      <t xml:space="preserve">‒     </t>
    </r>
    <r>
      <rPr>
        <sz val="8"/>
        <color indexed="8"/>
        <rFont val="Arial"/>
        <family val="2"/>
        <charset val="186"/>
      </rPr>
      <t>customers with no overdue receivables</t>
    </r>
  </si>
  <si>
    <r>
      <t xml:space="preserve">‒     </t>
    </r>
    <r>
      <rPr>
        <sz val="8"/>
        <color indexed="8"/>
        <rFont val="Arial"/>
        <family val="2"/>
        <charset val="186"/>
      </rPr>
      <t>customers with overdue receivables</t>
    </r>
  </si>
  <si>
    <t xml:space="preserve">   – Individually impaired receivables with scheduled payments*</t>
  </si>
  <si>
    <t xml:space="preserve">   – Receivables past due by more than 91 day</t>
  </si>
  <si>
    <t xml:space="preserve">   – samaksas termiņš kavēts vairāk par 91 dienu</t>
  </si>
  <si>
    <t xml:space="preserve">   – atsevišķi izvērtētie debitori ar maksājumu grafiku*</t>
  </si>
  <si>
    <t xml:space="preserve">   – nav kavējuši un nav izveidoti uzkrājumi</t>
  </si>
  <si>
    <t xml:space="preserve">   – Fully performing receivables</t>
  </si>
  <si>
    <t xml:space="preserve">   – Receivables past due by 1–30 days</t>
  </si>
  <si>
    <t xml:space="preserve">   – Receivables past due by 31–90 days</t>
  </si>
  <si>
    <t xml:space="preserve">      – samaksas termiņš kavēts 1–30 dienas</t>
  </si>
  <si>
    <t xml:space="preserve">   – samaksas termiņš kavēts 31–90 dienas</t>
  </si>
  <si>
    <t xml:space="preserve">   – samaksas termiņš kavēts vairāk par 181 dienu</t>
  </si>
  <si>
    <t xml:space="preserve">   – nav kavējuši un nav izveidoti uzkrājumi </t>
  </si>
  <si>
    <t xml:space="preserve">   – Receivables past due by 1–45 days</t>
  </si>
  <si>
    <t xml:space="preserve">   – samaksas termiņš kavēts 1–45 dienas</t>
  </si>
  <si>
    <t xml:space="preserve">   – Receivables past due by 46–90 days</t>
  </si>
  <si>
    <t xml:space="preserve">   – Receivables past due by 91–180 days</t>
  </si>
  <si>
    <t xml:space="preserve">   – Receivables past due by more than 181 day</t>
  </si>
  <si>
    <t xml:space="preserve">   – samaksas termiņš kavēts 46–90 dienas</t>
  </si>
  <si>
    <t xml:space="preserve">   – samaksas termiņš kavēts 91–180 dienas</t>
  </si>
  <si>
    <t>– par siltumenerģiju</t>
  </si>
  <si>
    <t>– Heating customers</t>
  </si>
  <si>
    <t>AS „Rīgas siltums”</t>
  </si>
  <si>
    <t>Rīgas siltums AS</t>
  </si>
  <si>
    <t>Elektrum Lietuva, UAB</t>
  </si>
  <si>
    <t>e) Noma</t>
  </si>
  <si>
    <t>Pārvades sistēmas aktīvu noma</t>
  </si>
  <si>
    <t>KOPĀ ieņēmumi no nomas</t>
  </si>
  <si>
    <t>Pārvades sistēmas aktīvus koncerns iznomā AS „Augstsprieguma tīkls” atbilstoši neatceļamam operatīvās nomas līgumam.</t>
  </si>
  <si>
    <t>KOPĀ nomas izmaksas</t>
  </si>
  <si>
    <t>of which,</t>
  </si>
  <si>
    <t>Transmission system assets lease</t>
  </si>
  <si>
    <t>TOTAL rental income</t>
  </si>
  <si>
    <t xml:space="preserve">
Transmission system assets had been leased out to Augstsprieguma tīkls AS under non-cancellable operating lease agreement.
</t>
  </si>
  <si>
    <t>TOTAL rental expense</t>
  </si>
  <si>
    <t>Datorprog-rammas</t>
  </si>
  <si>
    <t>Bez atlīdzības saņemtās kvotas</t>
  </si>
  <si>
    <t>Attiecināts pret ilgtermiņa ieguldījumu pārvērtēšanas rezervi pašu kapitālā (20. a pielikums)</t>
  </si>
  <si>
    <t>Attributable to non–current assets revaluation reserve in equity (Note 20 a)</t>
  </si>
  <si>
    <t>TOTAL income tax</t>
  </si>
  <si>
    <t>Net losses on redemption of held–to–maturity financial assets</t>
  </si>
  <si>
    <t>Interest income from held–to–maturity financial assets</t>
  </si>
  <si>
    <t>Ieņēmumi no procentu likmju mijmaiņas darījumu patiesās vērtības izmaiņām (21. c, II pielikums)</t>
  </si>
  <si>
    <t>Tajā skaitā vadības atalgojums:</t>
  </si>
  <si>
    <t>KOPĀ vadības atalgojums*</t>
  </si>
  <si>
    <t>TOTAL remuneration to the management*</t>
  </si>
  <si>
    <t>Including remuneration to the management:</t>
  </si>
  <si>
    <t>Held‒to‒maturity financial assets</t>
  </si>
  <si>
    <t>21 a</t>
  </si>
  <si>
    <t>21 b</t>
  </si>
  <si>
    <t>21 c</t>
  </si>
  <si>
    <t>Non‒current financial investments</t>
  </si>
  <si>
    <t>11 b</t>
  </si>
  <si>
    <t>11 a</t>
  </si>
  <si>
    <r>
      <t xml:space="preserve">Peļņa pirms </t>
    </r>
    <r>
      <rPr>
        <b/>
        <sz val="8"/>
        <color indexed="8"/>
        <rFont val="Arial"/>
        <family val="2"/>
        <charset val="186"/>
      </rPr>
      <t>nodokļa</t>
    </r>
  </si>
  <si>
    <t>Corporate Functions</t>
  </si>
  <si>
    <t>Segmenti KOPĀ</t>
  </si>
  <si>
    <t>Inter‒segment</t>
  </si>
  <si>
    <t>‒  ar elektroenerģijas tirdzniecību saistītie atvasinātie finanšu instrumenti</t>
  </si>
  <si>
    <r>
      <t>‒</t>
    </r>
    <r>
      <rPr>
        <sz val="7"/>
        <rFont val="Times New Roman"/>
        <family val="1"/>
        <charset val="186"/>
      </rPr>
      <t xml:space="preserve">   </t>
    </r>
    <r>
      <rPr>
        <sz val="8"/>
        <rFont val="Arial"/>
        <family val="2"/>
        <charset val="186"/>
      </rPr>
      <t>Electricity trading derivatives</t>
    </r>
  </si>
  <si>
    <t>CRITICAL ACCOUNTING ESTIMATES AND JUDGEMENTS</t>
  </si>
  <si>
    <t>No or non‒investment level credit rating</t>
  </si>
  <si>
    <t>17 a</t>
  </si>
  <si>
    <t>17 b</t>
  </si>
  <si>
    <t>Other non‒current financial receivables</t>
  </si>
  <si>
    <t>Other non‒current receivables</t>
  </si>
  <si>
    <t xml:space="preserve"> ‒ zaudējumi no ilgtermiņa aktīvu norakstīšanas</t>
  </si>
  <si>
    <t xml:space="preserve"> ‒ procentu izmaksas</t>
  </si>
  <si>
    <t xml:space="preserve"> ‒ procentu ieņēmumi</t>
  </si>
  <si>
    <t xml:space="preserve"> ‒ Loss from disposal of non‒current assets</t>
  </si>
  <si>
    <t xml:space="preserve"> ‒ Interest costs</t>
  </si>
  <si>
    <t xml:space="preserve"> ‒ Interest income</t>
  </si>
  <si>
    <t>13 a, 14 a</t>
  </si>
  <si>
    <t>Operating profit before working capital adjustments</t>
  </si>
  <si>
    <t>Cash generated from operating activities</t>
  </si>
  <si>
    <t>Proceeds from redemption of held‒to‒maturity assets</t>
  </si>
  <si>
    <t>Net cash flows used in investing activities</t>
  </si>
  <si>
    <t>Izdevumi aizņēmumu atmaksai</t>
  </si>
  <si>
    <t>Dividends paid to non‒controlling interests</t>
  </si>
  <si>
    <t>Non‒controlling interests</t>
  </si>
  <si>
    <t>20 b</t>
  </si>
  <si>
    <t>20 a</t>
  </si>
  <si>
    <t>13 a</t>
  </si>
  <si>
    <t>14 a</t>
  </si>
  <si>
    <t>14 b</t>
  </si>
  <si>
    <t>Investments in held‒to‒maturity financial assets</t>
  </si>
  <si>
    <t>Non‒current assets</t>
  </si>
  <si>
    <t>Total non‒current assets</t>
  </si>
  <si>
    <t>Non‒current liabilities</t>
  </si>
  <si>
    <t>Total non‒current liabilities</t>
  </si>
  <si>
    <t>20 a, 21 c</t>
  </si>
  <si>
    <t>22 a</t>
  </si>
  <si>
    <t xml:space="preserve">  ‒ Non‒controlling interests</t>
  </si>
  <si>
    <t xml:space="preserve">  ‒ Mazākuma daļu</t>
  </si>
  <si>
    <t>20 c</t>
  </si>
  <si>
    <r>
      <t xml:space="preserve">3) </t>
    </r>
    <r>
      <rPr>
        <sz val="7"/>
        <color indexed="8"/>
        <rFont val="Arial"/>
        <family val="2"/>
        <charset val="186"/>
      </rPr>
      <t>Peļņa pirms nodokļiem – peļņa pirms uzņēmumu ienākuma nodokļa</t>
    </r>
  </si>
  <si>
    <r>
      <t>1)</t>
    </r>
    <r>
      <rPr>
        <sz val="7"/>
        <color indexed="8"/>
        <rFont val="Arial"/>
        <family val="2"/>
        <charset val="186"/>
      </rPr>
      <t xml:space="preserve"> EBITDA – ieņēmumi pirms procentiem, uzņēmumu ienākuma nodokļa, asociēto sabiedrību peļņas vai zaudējumu daļas, nolietojuma un amortizācijas un nemateriālo ieguldījumu un pamatlīdzekļu vērtības samazinājuma</t>
    </r>
  </si>
  <si>
    <r>
      <t xml:space="preserve">2) </t>
    </r>
    <r>
      <rPr>
        <sz val="7"/>
        <color indexed="8"/>
        <rFont val="Arial"/>
        <family val="2"/>
        <charset val="186"/>
      </rPr>
      <t>Saimnieciskās darbības peļņa – peļņa pirms uzņēmumu ienākuma nodokļa, finanšu izmaksām un ieņēmumiem</t>
    </r>
  </si>
  <si>
    <r>
      <t>1)</t>
    </r>
    <r>
      <rPr>
        <sz val="7"/>
        <color indexed="8"/>
        <rFont val="Arial"/>
        <family val="2"/>
        <charset val="186"/>
      </rPr>
      <t xml:space="preserve"> EBITDA – earnings before interest, income tax, share of result of associates, depreciation and amortisation, and impairment of intangible assets and property, plant and equipment</t>
    </r>
  </si>
  <si>
    <r>
      <t xml:space="preserve">2) </t>
    </r>
    <r>
      <rPr>
        <sz val="7"/>
        <color indexed="8"/>
        <rFont val="Arial"/>
        <family val="2"/>
        <charset val="186"/>
      </rPr>
      <t>Operating profit – earnings before income tax, finance income and costs</t>
    </r>
  </si>
  <si>
    <r>
      <t xml:space="preserve">3) </t>
    </r>
    <r>
      <rPr>
        <sz val="7"/>
        <color indexed="8"/>
        <rFont val="Arial"/>
        <family val="2"/>
        <charset val="186"/>
      </rPr>
      <t>Profit before tax – earnings before income tax</t>
    </r>
  </si>
  <si>
    <t>Non–current assets</t>
  </si>
  <si>
    <t>2015. gada 31. decembrī</t>
  </si>
  <si>
    <t>Atlikums 2015. gada 31. decembrī</t>
  </si>
  <si>
    <t>Elektrum Eesti OÜ</t>
  </si>
  <si>
    <t>Pārējie pamatlīdzekļi</t>
  </si>
  <si>
    <t>Īstermiņa aizņēmumi no kredītiestādēm</t>
  </si>
  <si>
    <t>Sadales sistēmas pakalpojumi</t>
  </si>
  <si>
    <t>Pamatlīdzekļu pārvērtēšanas rezerves pieaugums pārvērtēšanas rezultātā</t>
  </si>
  <si>
    <t>Increase of non–current assets revaluation reserve as a result of revaluation</t>
  </si>
  <si>
    <t>Dzīvības apdrošināšanas izmaksas</t>
  </si>
  <si>
    <t>Life insurance costs</t>
  </si>
  <si>
    <t>Pārdotās kvotas</t>
  </si>
  <si>
    <t>Sold allowances</t>
  </si>
  <si>
    <t>Aktīvu vērtības samazinājums</t>
  </si>
  <si>
    <t>Pārvades aktīvu noma</t>
  </si>
  <si>
    <t>Lease of transmission system assets</t>
  </si>
  <si>
    <t>Atlikusī vērtība 2015. gada 31. decembrī</t>
  </si>
  <si>
    <t>Disposal</t>
  </si>
  <si>
    <t>Baa2 (stable)</t>
  </si>
  <si>
    <t>Finanšu rādītāji</t>
  </si>
  <si>
    <t>Finanšu koeficienti</t>
  </si>
  <si>
    <t>Darbības rādītāji</t>
  </si>
  <si>
    <t>Financial figures</t>
  </si>
  <si>
    <t>Financial ratios</t>
  </si>
  <si>
    <t>Operational figures</t>
  </si>
  <si>
    <t>Selling expenses and customer services</t>
  </si>
  <si>
    <t>Information technology maintenance</t>
  </si>
  <si>
    <t>Environment protection and work safety</t>
  </si>
  <si>
    <t>Real estate maintenance and utilities expenses</t>
  </si>
  <si>
    <t>Telecommunications services</t>
  </si>
  <si>
    <t>Electric power transit and capacity services</t>
  </si>
  <si>
    <t>Subsidised energy tax (SET)*</t>
  </si>
  <si>
    <t>Subsidētās elektroenerģijas nodoklis (SEN)*</t>
  </si>
  <si>
    <t>Pārdošanas un klientu apkalpošanas izmaksas</t>
  </si>
  <si>
    <t>Informācijas tehnoloģiju sistēmu uzturēšana</t>
  </si>
  <si>
    <t>Īre, telpu un teritorijas uzturēšana</t>
  </si>
  <si>
    <t>Telekomunikāciju un sakaru pakalpojumi</t>
  </si>
  <si>
    <t>Elektroenerģijas tranzīta un jaudas uzturēšana</t>
  </si>
  <si>
    <t>Darbinieku skaits</t>
  </si>
  <si>
    <t>Number of employees</t>
  </si>
  <si>
    <r>
      <rPr>
        <i/>
        <sz val="8"/>
        <color indexed="8"/>
        <rFont val="Arial"/>
        <family val="2"/>
        <charset val="186"/>
      </rPr>
      <t>Moody’s</t>
    </r>
    <r>
      <rPr>
        <sz val="8"/>
        <color indexed="8"/>
        <rFont val="Arial"/>
        <family val="2"/>
        <charset val="186"/>
      </rPr>
      <t xml:space="preserve"> kredītreitings</t>
    </r>
  </si>
  <si>
    <t>Nolietojums, amortizācija un nemateriālo ieguldījumu un pamatlīdzekļu vērtības samazinājums</t>
  </si>
  <si>
    <t>Depreciation, amortisation and impairment of intangible assets and property, plant and equipment</t>
  </si>
  <si>
    <t xml:space="preserve"> ‒ amortizācija un nolietojums, nemateriālo ieguldījumu un pamatlīdzekļu vērtības samazinājums</t>
  </si>
  <si>
    <t xml:space="preserve"> ‒ Amortisation, depreciation and impairment of intangible assets and property, plant and equipment</t>
  </si>
  <si>
    <t>Adjustments:</t>
  </si>
  <si>
    <t>Net cash flows used in financing activities</t>
  </si>
  <si>
    <t>Finanšu aktīvi sadalījumā pa kategorijām:</t>
  </si>
  <si>
    <t>Financial assets by categories:</t>
  </si>
  <si>
    <t>Finanšu saistības sadalījumā pa kategorijām:</t>
  </si>
  <si>
    <t>Financial liabilities by categories:</t>
  </si>
  <si>
    <t>Ar investīciju līmeņa kredītreitingu*</t>
  </si>
  <si>
    <t>Investment level credit rating*</t>
  </si>
  <si>
    <t>* Baltijas banku mātessabiedrībām noteiktais investīciju līmeņa kredītreitings</t>
  </si>
  <si>
    <t>* Investment level credit rating assigned for the parent companies of Baltic banks</t>
  </si>
  <si>
    <t>c) Fair value estimation for financial instruments</t>
  </si>
  <si>
    <t>Amortizācija, nolietojums un nemateriālo ieguldījumu un pamatlīdzekļu vērtības samazinājums</t>
  </si>
  <si>
    <t>Amortisation, depreciation and intangible assets and property, plant and equipment impairment loss</t>
  </si>
  <si>
    <t>Segmentu peļņa / (zaudējumi)</t>
  </si>
  <si>
    <t>Aizņēmumu procentu izmaksas</t>
  </si>
  <si>
    <t>b) Greenhouse gas emission allowances</t>
  </si>
  <si>
    <t>Izejvielas un materiāli</t>
  </si>
  <si>
    <t>Uzkrājumi izejvielām, materiāliem un pārējiem krājumiem</t>
  </si>
  <si>
    <t>Raw materials and materials</t>
  </si>
  <si>
    <t>Allowance for raw materials and other inventories</t>
  </si>
  <si>
    <t>Revalued property, plant and equipment (Note 14 c)</t>
  </si>
  <si>
    <t>2016. gads</t>
  </si>
  <si>
    <t>Year ended 31 December 2016</t>
  </si>
  <si>
    <t>As of 31 December 2015</t>
  </si>
  <si>
    <t>2016. gada 31. decembrī</t>
  </si>
  <si>
    <t>As of 31 December 2016</t>
  </si>
  <si>
    <t>Dividendes par 2015. gadu</t>
  </si>
  <si>
    <t>Dividends for 2015</t>
  </si>
  <si>
    <t>Finanšu aktīvi 2016. gada 31. decembrī</t>
  </si>
  <si>
    <t>Financial assets as of 31 December 2016</t>
  </si>
  <si>
    <t>Finanšu saistības 2016. gada 31. decembrī</t>
  </si>
  <si>
    <t>Financial liabilities as of 31 December 2016</t>
  </si>
  <si>
    <t>Ar elektroenerģijas tirdzniecību saistītie atvasinātie finanšu instrumenti atbilstoši riska ierobežošanas uzskaitei</t>
  </si>
  <si>
    <t>Electricity trading derivatives used for hedging</t>
  </si>
  <si>
    <t>Energy resources costs</t>
  </si>
  <si>
    <t>Energoresursu izmaksas</t>
  </si>
  <si>
    <t>Tehnoloģiskās iekārtas un ierīces</t>
  </si>
  <si>
    <t>Property, plant and equipment TOTAL</t>
  </si>
  <si>
    <t>Assets under construction and advance payments</t>
  </si>
  <si>
    <t>Uzkrātais nolietojums un vērtības samazinājums</t>
  </si>
  <si>
    <t>Atlikums 2016. gada 31. decembrī</t>
  </si>
  <si>
    <t>14 a, 19</t>
  </si>
  <si>
    <t>Siltumenerģijas izstrāde</t>
  </si>
  <si>
    <t>31/12/2016</t>
  </si>
  <si>
    <t>– ar elektroenerģijas tirdzniecību saistītie instrumenti</t>
  </si>
  <si>
    <t>Financial assets at fair value through the profit or loss</t>
  </si>
  <si>
    <t>Ražošana un tirdzniecība</t>
  </si>
  <si>
    <t>Generation and trade</t>
  </si>
  <si>
    <t>Distribution</t>
  </si>
  <si>
    <t>Pieslēgumu lietošanas tiesības</t>
  </si>
  <si>
    <t>Connection usage rights</t>
  </si>
  <si>
    <t>Zeme, ēkas un inženierbūves</t>
  </si>
  <si>
    <t>Land, buildings and facilities</t>
  </si>
  <si>
    <t>Investments</t>
  </si>
  <si>
    <t>Investīcijas</t>
  </si>
  <si>
    <t>Current portion of issued debt securities (bonds)</t>
  </si>
  <si>
    <t>Emitēto parāda vērtspapīru (obligāciju) īstermiņa daļa</t>
  </si>
  <si>
    <t>Current borrowings from financial institutions</t>
  </si>
  <si>
    <t>– &lt; 1 year (current borrowings)</t>
  </si>
  <si>
    <t>– 1 gads vai mazāk (īstermiņa aizņēmumi)</t>
  </si>
  <si>
    <t>Mātessabiedrības akcionāra kapitāla līdzdalības daļa</t>
  </si>
  <si>
    <t>Equity attributable to equity holder of the Parent Company</t>
  </si>
  <si>
    <t>Attiecināms uz mātessabiedrības akcionāru</t>
  </si>
  <si>
    <t>Attributable to equity holder of the Parent Company</t>
  </si>
  <si>
    <r>
      <t>Profit before tax</t>
    </r>
    <r>
      <rPr>
        <vertAlign val="superscript"/>
        <sz val="8"/>
        <rFont val="Arial"/>
        <family val="2"/>
        <charset val="186"/>
      </rPr>
      <t>3)</t>
    </r>
  </si>
  <si>
    <r>
      <t>Operating profit</t>
    </r>
    <r>
      <rPr>
        <vertAlign val="superscript"/>
        <sz val="8"/>
        <rFont val="Arial"/>
        <family val="2"/>
        <charset val="186"/>
      </rPr>
      <t>2)</t>
    </r>
  </si>
  <si>
    <r>
      <t>EBITDA</t>
    </r>
    <r>
      <rPr>
        <vertAlign val="superscript"/>
        <sz val="8"/>
        <rFont val="Arial"/>
        <family val="2"/>
        <charset val="186"/>
      </rPr>
      <t>1)</t>
    </r>
  </si>
  <si>
    <r>
      <t>EBITDA</t>
    </r>
    <r>
      <rPr>
        <vertAlign val="superscript"/>
        <sz val="8"/>
        <color indexed="8"/>
        <rFont val="Arial"/>
        <family val="2"/>
        <charset val="186"/>
      </rPr>
      <t>1)</t>
    </r>
  </si>
  <si>
    <r>
      <t>Saimnieciskās darbības peļņa</t>
    </r>
    <r>
      <rPr>
        <vertAlign val="superscript"/>
        <sz val="8"/>
        <color indexed="8"/>
        <rFont val="Arial"/>
        <family val="2"/>
        <charset val="186"/>
      </rPr>
      <t>2)</t>
    </r>
  </si>
  <si>
    <r>
      <t>Peļņa pirms nodokļiem</t>
    </r>
    <r>
      <rPr>
        <vertAlign val="superscript"/>
        <sz val="8"/>
        <color indexed="8"/>
        <rFont val="Arial"/>
        <family val="2"/>
        <charset val="186"/>
      </rPr>
      <t>3)</t>
    </r>
  </si>
  <si>
    <r>
      <rPr>
        <i/>
        <sz val="8"/>
        <rFont val="Arial"/>
        <family val="2"/>
        <charset val="186"/>
      </rPr>
      <t>Moody’s</t>
    </r>
    <r>
      <rPr>
        <sz val="8"/>
        <rFont val="Arial"/>
        <family val="2"/>
        <charset val="186"/>
      </rPr>
      <t xml:space="preserve"> credit rating</t>
    </r>
  </si>
  <si>
    <t xml:space="preserve">  ‒ Equity holder of the Parent Company</t>
  </si>
  <si>
    <t xml:space="preserve">  ‒ Mātessabiedrības akcionāru</t>
  </si>
  <si>
    <t>Gains from change in hedge reserve</t>
  </si>
  <si>
    <t>Ieņēmumi no naudas plūsmas riska ierobežošanas rezerves izmaiņām</t>
  </si>
  <si>
    <t>Pārējās īstermiņa saistības</t>
  </si>
  <si>
    <t>Other current payables</t>
  </si>
  <si>
    <t>Pamatlīdzekļu pārvērtēšanas rezerves norakstīšana, atskaitot atlikto uzņēmumu ienākuma nodokli</t>
  </si>
  <si>
    <t>Nauda un tās ekvivalenti pārskata gada beigās</t>
  </si>
  <si>
    <t>Cash and cash equivalents at the end of the year</t>
  </si>
  <si>
    <t>Dividends paid to equity holder of the Parent Company</t>
  </si>
  <si>
    <t>Mātessabiedrības akcionāram izmaksātās dividendes</t>
  </si>
  <si>
    <t>Increase in inventories</t>
  </si>
  <si>
    <t>Net increase in cash and cash equivalents</t>
  </si>
  <si>
    <t>Krājumu pieaugums</t>
  </si>
  <si>
    <t>Neto naudas un tās ekvivalentu pieaugums</t>
  </si>
  <si>
    <t>Aktīvi patiesajā vērtībā ar ietekmi uz peļņas vai zaudējumu aprēķinu</t>
  </si>
  <si>
    <t>Financial liabilities at fair value through the profit or loss</t>
  </si>
  <si>
    <t>Financial liabilities (Note 24)*</t>
  </si>
  <si>
    <t>Finanšu saistības (24. pielikums)*</t>
  </si>
  <si>
    <t>‒  Electricity trading derivatives</t>
  </si>
  <si>
    <t>Segment profit / (loss)</t>
  </si>
  <si>
    <t>Siltumenerģijas pārdošana</t>
  </si>
  <si>
    <t>Iepirktā elektroenerģija</t>
  </si>
  <si>
    <t>Purchased electricity</t>
  </si>
  <si>
    <t>Fair value (income) / loss on electricity forwards and futures     (Note 21 c, III)</t>
  </si>
  <si>
    <t>(Ieņēmumi) / zaudējumi no elektroenerģijas cenu nākotnes darījumu patiesās vērtības izmaiņām (21. c, III pielikums)</t>
  </si>
  <si>
    <t>* subsidētās elektroenerģijas nodoklis atbilstoši „Subsidētās elektroenerģijas nodokļa likumam” ir ieviests no 2014. gada 1. janvāra uz turpmākajiem četriem gadiem, un ar to tiek aplikts valsts sniegtais atbalsts subsidētās elektroenerģijas ražotājiem (2.17. pielikums)</t>
  </si>
  <si>
    <t>Capitalised borrowing costs (Note 14 a)</t>
  </si>
  <si>
    <t>Kapitalizētās aizņēmumu procentu izmaksas (14. a pielikums)</t>
  </si>
  <si>
    <t>Attributable to re–measurement on defined post–employment benefit plan (Note 22 a)</t>
  </si>
  <si>
    <t>Attiecināts pret pēcnodarbinātības pabalstu novērtēšanu (22. a pielikums)</t>
  </si>
  <si>
    <t>Usage rights, licences</t>
  </si>
  <si>
    <t>Lietošanas tiesības, licences</t>
  </si>
  <si>
    <t>Assets under development</t>
  </si>
  <si>
    <t>Atlikusī vērtība 2016. gada 31. decembrī</t>
  </si>
  <si>
    <t>Other PPE</t>
  </si>
  <si>
    <t>Nepabeigtā celtniecība un avansa maksājumi</t>
  </si>
  <si>
    <t>KOPĀ pamatlīdzekļi</t>
  </si>
  <si>
    <t>Ieguldīts pamatkapitālā (19. pielikums)*</t>
  </si>
  <si>
    <t>Invested in share capital (Note 19)*</t>
  </si>
  <si>
    <t>Ieguldījuma īpašumi KOPĀ</t>
  </si>
  <si>
    <t>TOTAL Investment property</t>
  </si>
  <si>
    <t>Pārvērtēto pamatlīdzekļu grupas</t>
  </si>
  <si>
    <t xml:space="preserve">Pārvērtētās ēkas un inženierbūves </t>
  </si>
  <si>
    <t>Pārvērtētās tehnoloģiskās iekārtas un ierīces</t>
  </si>
  <si>
    <t>Pārvērtētās pārējās iekārtas</t>
  </si>
  <si>
    <t>KOPĀ pārvērtētie pamatlīdzekļi</t>
  </si>
  <si>
    <t>e) Leases</t>
  </si>
  <si>
    <t>Revalued buildings and facilities</t>
  </si>
  <si>
    <t>Revalued technology equipment and machinery</t>
  </si>
  <si>
    <t>Revalued other equipment</t>
  </si>
  <si>
    <t>TOTAL revalued PPE</t>
  </si>
  <si>
    <t>Revalued property, plant and equipment groups</t>
  </si>
  <si>
    <t xml:space="preserve">   tajā skaitā:</t>
  </si>
  <si>
    <t>Other non–current financial investments:</t>
  </si>
  <si>
    <t>Citi uzkrātie ieņēmumi</t>
  </si>
  <si>
    <t>Other accrued income</t>
  </si>
  <si>
    <t>Citi īstermiņa debitori</t>
  </si>
  <si>
    <t>Allowance for impaired receivables</t>
  </si>
  <si>
    <t>Other current receivables</t>
  </si>
  <si>
    <t>Total cash and cash equivalents</t>
  </si>
  <si>
    <t>Total inventories</t>
  </si>
  <si>
    <t>Non–current assets revaluation reserve</t>
  </si>
  <si>
    <t>Note</t>
  </si>
  <si>
    <t>Disposal of non–current assets revaluation reserve net of deferred tax</t>
  </si>
  <si>
    <t>Profit attributable to the equity holder of the Parent Company (in thousand EUR)</t>
  </si>
  <si>
    <t>Uz mātessabiedrības akcionāru attiecināmā pārskata gada peļņa (tūkstošos EUR)</t>
  </si>
  <si>
    <t>Held–to–maturity financial assets carrying amount:</t>
  </si>
  <si>
    <t>Līdz termiņa beigām turēto finanšu aktīvu atlikusī uzskaites vērtība:</t>
  </si>
  <si>
    <t>Total held–to–maturity financial assets</t>
  </si>
  <si>
    <t>Total non–current borrowings</t>
  </si>
  <si>
    <t>Total current borrowings</t>
  </si>
  <si>
    <t>Total borrowings</t>
  </si>
  <si>
    <t>* debitori, kuriem izsludināts maksātnespējas process un pārējie atsevišķi izvērtētie debitori</t>
  </si>
  <si>
    <t>* receivables under insolvency process and other individually impaired receivables</t>
  </si>
  <si>
    <r>
      <t> </t>
    </r>
    <r>
      <rPr>
        <b/>
        <sz val="9"/>
        <color indexed="8"/>
        <rFont val="Arial"/>
        <family val="2"/>
        <charset val="186"/>
      </rPr>
      <t>Total borrowings</t>
    </r>
  </si>
  <si>
    <r>
      <t> </t>
    </r>
    <r>
      <rPr>
        <b/>
        <sz val="8"/>
        <color indexed="8"/>
        <rFont val="Arial"/>
        <family val="2"/>
        <charset val="186"/>
      </rPr>
      <t>Total fixed rate borrowings</t>
    </r>
  </si>
  <si>
    <r>
      <t> Total</t>
    </r>
    <r>
      <rPr>
        <b/>
        <sz val="8"/>
        <color indexed="8"/>
        <rFont val="Arial"/>
        <family val="2"/>
        <charset val="186"/>
      </rPr>
      <t xml:space="preserve"> floating rate borrowings</t>
    </r>
  </si>
  <si>
    <t>Total borrowings:</t>
  </si>
  <si>
    <t>Atvasināto finanšu instrumentu patieso vērtību atlikumi atspoguļoti nākamajās tabulās:</t>
  </si>
  <si>
    <t>In tables below outstanding fair values of derivatives are disclosed as follows:</t>
  </si>
  <si>
    <t>Total outstanding fair values of derivatives</t>
  </si>
  <si>
    <t>Non–current</t>
  </si>
  <si>
    <t>Total fair values of derivative financial instruments</t>
  </si>
  <si>
    <t>Held–to–maturity financial assets (Note 21 a)</t>
  </si>
  <si>
    <t>Electricity forwards and futures (Note 21 c, III)</t>
  </si>
  <si>
    <t>Līdz termiņa beigām turēti finanšu aktīvi (21. a pielikums)</t>
  </si>
  <si>
    <t>Elektroenerģijas cenu nākotnes darījumi (21. c, III pielikums)</t>
  </si>
  <si>
    <t>Procentu likmju mijmaiņas darījumi (21. c, II pielikums)</t>
  </si>
  <si>
    <t>Interest rate swaps (Note 21 c, II)</t>
  </si>
  <si>
    <t>Issued debt securities (bonds) (Note 21 b, IV)</t>
  </si>
  <si>
    <t>Emitētie parāda vērtspapīri (obligācijas) (21. b, IV pielikums)</t>
  </si>
  <si>
    <t>Aizņēmumi ar mainīgām procentu likmēm (21. b pielikums)</t>
  </si>
  <si>
    <t>Aizņēmumi ar fiksētām procentu likmēm (21. b pielikums)</t>
  </si>
  <si>
    <t>Floating rate borrowings (Note 21 b)</t>
  </si>
  <si>
    <t>Fixed rate borrowings (Note 21 b)</t>
  </si>
  <si>
    <t>Impact on provisions for post–employment benefits</t>
  </si>
  <si>
    <t>pieaugums par 1 %</t>
  </si>
  <si>
    <t>samazinājums par 1 %</t>
  </si>
  <si>
    <t>Total financial liabilities</t>
  </si>
  <si>
    <t>Non–financial liabilities:</t>
  </si>
  <si>
    <t>Total non–financial liabilities</t>
  </si>
  <si>
    <t>Koncerns/Group</t>
  </si>
  <si>
    <t>Sabiedrība/Company</t>
  </si>
  <si>
    <t>TOTAL contributions and profit distributions recognised directly in equity</t>
  </si>
  <si>
    <t>Dividendes par 2016. gadu</t>
  </si>
  <si>
    <t>Dividends for 2016</t>
  </si>
  <si>
    <t>Koncerns / Group</t>
  </si>
  <si>
    <t>2017. gada 31. decembrī</t>
  </si>
  <si>
    <t>As of 31 December 2017</t>
  </si>
  <si>
    <t>31/12/2017</t>
  </si>
  <si>
    <t>Finanšu aktīvi 2017. gada 31. decembrī</t>
  </si>
  <si>
    <t>Financial assets as of 31 December 2017</t>
  </si>
  <si>
    <t>Finanšu saistības 2017. gada 31. decembrī</t>
  </si>
  <si>
    <t>Financial liabilities as of 31 December 2017</t>
  </si>
  <si>
    <t>2017. gads</t>
  </si>
  <si>
    <t>Year ended 31 December 2017</t>
  </si>
  <si>
    <t>Pielikums                 Notes</t>
  </si>
  <si>
    <t>Atlikusī vērtība 2017. gada 31. decembrī</t>
  </si>
  <si>
    <r>
      <t>14.</t>
    </r>
    <r>
      <rPr>
        <b/>
        <sz val="14"/>
        <color rgb="FF054F95"/>
        <rFont val="Times New Roman"/>
        <family val="1"/>
        <charset val="186"/>
      </rPr>
      <t xml:space="preserve">  </t>
    </r>
    <r>
      <rPr>
        <b/>
        <sz val="14"/>
        <color rgb="FF054F95"/>
        <rFont val="Arial"/>
        <family val="2"/>
        <charset val="186"/>
      </rPr>
      <t>PAMATLĪDZEKĻI</t>
    </r>
  </si>
  <si>
    <t>LATVENERGO KONCERNA un AS LATVENERGO</t>
  </si>
  <si>
    <t>LATVENERGO GROUP and AS LATVENERGO</t>
  </si>
  <si>
    <t>FINANCIAL STATEMENTS 2017</t>
  </si>
  <si>
    <t>2017. GADA FINANŠU PĀRSKATI</t>
  </si>
  <si>
    <t>Sabiedrības</t>
  </si>
  <si>
    <t>Companies</t>
  </si>
  <si>
    <t>Interest held, %</t>
  </si>
  <si>
    <t>Enerģijas publiskais tirgotājs AS</t>
  </si>
  <si>
    <t>Siltumenerģijas, elektroenerģijas ražošana un pārdošana Liepājā</t>
  </si>
  <si>
    <t>Siltumenerģijas, elektroenerģijas ražošana un pārdošana Rīgā</t>
  </si>
  <si>
    <r>
      <t>15.</t>
    </r>
    <r>
      <rPr>
        <b/>
        <sz val="12"/>
        <color rgb="FF054F95"/>
        <rFont val="Times New Roman"/>
        <family val="1"/>
        <charset val="186"/>
      </rPr>
      <t xml:space="preserve">   </t>
    </r>
    <r>
      <rPr>
        <b/>
        <sz val="12"/>
        <color rgb="FF054F95"/>
        <rFont val="Arial"/>
        <family val="2"/>
        <charset val="186"/>
      </rPr>
      <t>ILGTERMIŅA FINANŠU IEGULDĪJUMI</t>
    </r>
  </si>
  <si>
    <r>
      <t>18.</t>
    </r>
    <r>
      <rPr>
        <b/>
        <sz val="12"/>
        <color rgb="FF054F95"/>
        <rFont val="Times New Roman"/>
        <family val="1"/>
        <charset val="186"/>
      </rPr>
      <t>  </t>
    </r>
    <r>
      <rPr>
        <b/>
        <sz val="12"/>
        <color rgb="FF054F95"/>
        <rFont val="Arial"/>
        <family val="2"/>
        <charset val="186"/>
      </rPr>
      <t>NAUDA UN NAUDAS EKVIVALENTI</t>
    </r>
  </si>
  <si>
    <t>2017</t>
  </si>
  <si>
    <t>2016</t>
  </si>
  <si>
    <r>
      <t>20.</t>
    </r>
    <r>
      <rPr>
        <b/>
        <sz val="12"/>
        <color rgb="FF054F95"/>
        <rFont val="Times New Roman"/>
        <family val="1"/>
        <charset val="186"/>
      </rPr>
      <t>  </t>
    </r>
    <r>
      <rPr>
        <b/>
        <sz val="12"/>
        <color rgb="FF054F95"/>
        <rFont val="Arial"/>
        <family val="2"/>
        <charset val="186"/>
      </rPr>
      <t>REZERVES, DIVIDENDES UN PEĻŅA UZ AKCIJU</t>
    </r>
  </si>
  <si>
    <r>
      <t>21.</t>
    </r>
    <r>
      <rPr>
        <b/>
        <sz val="12"/>
        <color rgb="FF054F95"/>
        <rFont val="Times New Roman"/>
        <family val="1"/>
        <charset val="186"/>
      </rPr>
      <t>   </t>
    </r>
    <r>
      <rPr>
        <b/>
        <sz val="12"/>
        <color rgb="FF054F95"/>
        <rFont val="Arial"/>
        <family val="2"/>
        <charset val="186"/>
      </rPr>
      <t>FINANŠU AKTĪVI UN SAISTĪBAS</t>
    </r>
  </si>
  <si>
    <r>
      <t>a)</t>
    </r>
    <r>
      <rPr>
        <b/>
        <sz val="11"/>
        <color rgb="FF054F95"/>
        <rFont val="Times New Roman"/>
        <family val="1"/>
        <charset val="186"/>
      </rPr>
      <t xml:space="preserve">     </t>
    </r>
    <r>
      <rPr>
        <b/>
        <sz val="11"/>
        <color rgb="FF054F95"/>
        <rFont val="Arial"/>
        <family val="2"/>
        <charset val="186"/>
      </rPr>
      <t>Līdz termiņa beigām turētie finanšu aktīvi</t>
    </r>
  </si>
  <si>
    <r>
      <t>a)</t>
    </r>
    <r>
      <rPr>
        <b/>
        <sz val="11"/>
        <color rgb="FF054F95"/>
        <rFont val="Times New Roman"/>
        <family val="1"/>
        <charset val="186"/>
      </rPr>
      <t xml:space="preserve">     </t>
    </r>
    <r>
      <rPr>
        <b/>
        <sz val="11"/>
        <color rgb="FF054F95"/>
        <rFont val="Arial"/>
        <family val="2"/>
        <charset val="186"/>
      </rPr>
      <t>Held–to–maturity financial assets</t>
    </r>
  </si>
  <si>
    <t>Atlikums 2017. gada 31. decembrī</t>
  </si>
  <si>
    <r>
      <t>25.</t>
    </r>
    <r>
      <rPr>
        <b/>
        <sz val="12"/>
        <color rgb="FF054F95"/>
        <rFont val="Times New Roman"/>
        <family val="1"/>
        <charset val="186"/>
      </rPr>
      <t>  </t>
    </r>
    <r>
      <rPr>
        <b/>
        <sz val="12"/>
        <color rgb="FF054F95"/>
        <rFont val="Arial"/>
        <family val="2"/>
        <charset val="186"/>
      </rPr>
      <t>DARĪJUMI AR SAISTĪTAJĀM PUSĒM</t>
    </r>
  </si>
  <si>
    <r>
      <t>24.</t>
    </r>
    <r>
      <rPr>
        <b/>
        <sz val="12"/>
        <color rgb="FF054F95"/>
        <rFont val="Times New Roman"/>
        <family val="1"/>
        <charset val="186"/>
      </rPr>
      <t>  </t>
    </r>
    <r>
      <rPr>
        <b/>
        <sz val="12"/>
        <color rgb="FF054F95"/>
        <rFont val="Arial"/>
        <family val="2"/>
        <charset val="186"/>
      </rPr>
      <t>PARĀDI PIEGĀDĀTĀJIEM UN PĀRĒJIEM KREDITORIEM</t>
    </r>
  </si>
  <si>
    <r>
      <t>23.</t>
    </r>
    <r>
      <rPr>
        <b/>
        <sz val="12"/>
        <color rgb="FF054F95"/>
        <rFont val="Times New Roman"/>
        <family val="1"/>
        <charset val="186"/>
      </rPr>
      <t>  </t>
    </r>
    <r>
      <rPr>
        <b/>
        <sz val="12"/>
        <color rgb="FF054F95"/>
        <rFont val="Arial"/>
        <family val="2"/>
        <charset val="186"/>
      </rPr>
      <t>PĀRĒJIE KREDITORI UN NĀKAMO PERIODU IEŅĒMUMI</t>
    </r>
  </si>
  <si>
    <r>
      <t>22.</t>
    </r>
    <r>
      <rPr>
        <b/>
        <sz val="12"/>
        <color rgb="FF054F95"/>
        <rFont val="Times New Roman"/>
        <family val="1"/>
        <charset val="186"/>
      </rPr>
      <t xml:space="preserve">   </t>
    </r>
    <r>
      <rPr>
        <b/>
        <sz val="12"/>
        <color rgb="FF054F95"/>
        <rFont val="Arial"/>
        <family val="2"/>
        <charset val="186"/>
      </rPr>
      <t>UZKRĀJUMI</t>
    </r>
  </si>
  <si>
    <r>
      <t xml:space="preserve">3. </t>
    </r>
    <r>
      <rPr>
        <b/>
        <sz val="7"/>
        <color rgb="FF054F95"/>
        <rFont val="Times New Roman"/>
        <family val="1"/>
        <charset val="186"/>
      </rPr>
      <t xml:space="preserve"> </t>
    </r>
    <r>
      <rPr>
        <b/>
        <sz val="14"/>
        <color rgb="FF054F95"/>
        <rFont val="Arial"/>
        <family val="2"/>
        <charset val="186"/>
      </rPr>
      <t>FINANŠU RISKU VADĪBA</t>
    </r>
  </si>
  <si>
    <t>IFRS 15</t>
  </si>
  <si>
    <t>b) Uzkrājumi darba attiecību izbeigšanas pabalstiem</t>
  </si>
  <si>
    <t>c) Uzkrājumi apkārtējās vides aizsardzībai</t>
  </si>
  <si>
    <t>Atmaksāti emitētie parāda vērtspapīri (obligācijas)</t>
  </si>
  <si>
    <t>Repaid issued debt securities (bonds)</t>
  </si>
  <si>
    <t>Emitēto parāda vērtspapīru (obligāciju) vērtības izmaiņas</t>
  </si>
  <si>
    <t>Changes in outstanding value of issued debt securities (bonds)</t>
  </si>
  <si>
    <t xml:space="preserve"> </t>
  </si>
  <si>
    <t>Pārējie nākamo periodu ieņēmumi</t>
  </si>
  <si>
    <t>Saņemtie nākamo periodu ieņēmumi (finansējums)</t>
  </si>
  <si>
    <t>Saņemtās pieslēguma maksas</t>
  </si>
  <si>
    <t>Deferred non–current income</t>
  </si>
  <si>
    <t>Other deferred income</t>
  </si>
  <si>
    <t>Deferred income from connection fees</t>
  </si>
  <si>
    <t>Avansa maksājumi par krājumiem</t>
  </si>
  <si>
    <t>Prepayments for inventories</t>
  </si>
  <si>
    <t xml:space="preserve">Ieguldījuma īpašumi </t>
  </si>
  <si>
    <t xml:space="preserve">Ieguldījuma īpašumi iznomāšanai </t>
  </si>
  <si>
    <t>Ieguldījuma īpašumi paredzēti atsavināšanai</t>
  </si>
  <si>
    <t xml:space="preserve"> Investment property</t>
  </si>
  <si>
    <t>Investment properties for lease</t>
  </si>
  <si>
    <t xml:space="preserve"> Investment property held for sale</t>
  </si>
  <si>
    <t>Pārklasificēts uz ieguldījuma īpašumiem paredzēti atsavināšanai</t>
  </si>
  <si>
    <t>Reclassified to investment property held for capital appreciation</t>
  </si>
  <si>
    <t>Reclassified from property, plant and equipment to investment property</t>
  </si>
  <si>
    <t>Positions reclassified</t>
  </si>
  <si>
    <t>Pārskats par finanšu stāvokli (izvilkums)</t>
  </si>
  <si>
    <t>Effect on IFRS 15 adoption</t>
  </si>
  <si>
    <t>AKTĪVS</t>
  </si>
  <si>
    <t>Parādi no līgumiem ar klientiem</t>
  </si>
  <si>
    <t>Receivables from contracts with customers</t>
  </si>
  <si>
    <t>PASĪVS</t>
  </si>
  <si>
    <t>EQUITY AND LIABILITIES</t>
  </si>
  <si>
    <t>Pašu kapitāls</t>
  </si>
  <si>
    <t>Equity</t>
  </si>
  <si>
    <t>Non–current liabilities</t>
  </si>
  <si>
    <t>Nākamo periodu ieņēmumi no līgumiem ar klientiem</t>
  </si>
  <si>
    <t>Total non–current liabilities</t>
  </si>
  <si>
    <t>Ietekme peļņas vai zaudējumu aprēķinā un pārskatā par finansiālo stāvokli, saskaņā ar SFPS Nr. 15 prasībām un salīdzinājumā ar standartiem un interpretācijām, kas bija spēkā pirms izmaiņām, atspoguļoti šajā tabulā:</t>
  </si>
  <si>
    <t>Financial Position</t>
  </si>
  <si>
    <t>As reported</t>
  </si>
  <si>
    <t>Without adoption of IFRS 15</t>
  </si>
  <si>
    <t>Effect of Change (higher/(lower))</t>
  </si>
  <si>
    <t>Peļņas vai zaudējumu aprēķins (izvilkums)</t>
  </si>
  <si>
    <t>Statement of Profit or Loss (extract)</t>
  </si>
  <si>
    <t>Peļņa vai zaudējumi</t>
  </si>
  <si>
    <t>Profit or Loss</t>
  </si>
  <si>
    <t>Effect of change (higher/(lower))</t>
  </si>
  <si>
    <t>Pārskata gada peļņa / (zaudējumi)</t>
  </si>
  <si>
    <t>Profit / (loss) for the year</t>
  </si>
  <si>
    <t>2.29. Grāmatvedības politikas maiņa</t>
  </si>
  <si>
    <t>The cumulative effect upon adoption of IFRS 15:</t>
  </si>
  <si>
    <t>In accordance with the IFRS 15 requirements, the disclosure of the impact of adoption on Statement of profit of profit or loss and statement of financial position is as follows:</t>
  </si>
  <si>
    <t>Finanšu postenis</t>
  </si>
  <si>
    <t>IFRS or IAS applied</t>
  </si>
  <si>
    <t>Revenue from contracts with customers recognised over time:</t>
  </si>
  <si>
    <t>Total revenue from contracts with customers</t>
  </si>
  <si>
    <t>Other revenue:</t>
  </si>
  <si>
    <t>IAS 17</t>
  </si>
  <si>
    <t>Total other revenue</t>
  </si>
  <si>
    <t>TOTAL revenue </t>
  </si>
  <si>
    <t>TOTAL liabilities</t>
  </si>
  <si>
    <t>Piemērotais SFPS vai SGS</t>
  </si>
  <si>
    <t>Ieņēmumi no līgumiem ar klientiem, kas atzīti laika gaitā:</t>
  </si>
  <si>
    <t>15. SFPS</t>
  </si>
  <si>
    <t>KOPĀ ieņēmumi no līgumiem ar klientiem</t>
  </si>
  <si>
    <t>Pārējie ieņēmumi:</t>
  </si>
  <si>
    <t>17. SGS</t>
  </si>
  <si>
    <t xml:space="preserve">KOPĀ </t>
  </si>
  <si>
    <t>Saņemtie maksājumi</t>
  </si>
  <si>
    <t>Contract liabilities – deferred income from use of allowed effective electrical load (distribution system services)</t>
  </si>
  <si>
    <t>In 2017 contract liabilities on deferred income from distribution system services has increased by EUR 243 thousand as expected that the customers who have qualified for 0.5 tariffs for distribution system services from efficient use of permitted load will reach its determined consumption level in the next financial year. This amount was charged to the Statement of Profit or Loss as reduction of distribution system services revenues (see Note 2.29.).</t>
  </si>
  <si>
    <t>The Group has recognised in year 2017 distribution system services revenues from all contract liabilities and at the beginning of the year cumulative effect in retained earnings upon modified retrospective approach in amount of EUR 10 thousand.</t>
  </si>
  <si>
    <t>Pārējo aktīvu noma</t>
  </si>
  <si>
    <t>Lease of other assets</t>
  </si>
  <si>
    <t>Enerģijas pārdošana un ar to saistītie pakalpojumi</t>
  </si>
  <si>
    <t>Trade of energy and related supply services</t>
  </si>
  <si>
    <t>Pārvades sistēmas aktīvu noma (14. e pielikums)</t>
  </si>
  <si>
    <t>Lease of transmission system assets (Note 14 e)</t>
  </si>
  <si>
    <t>Interim</t>
  </si>
  <si>
    <t xml:space="preserve"> Statement of Financial Position (extract)</t>
  </si>
  <si>
    <t xml:space="preserve">Obligātā iepirkuma komponente </t>
  </si>
  <si>
    <t>Pārvades sistēmas pakalpojums</t>
  </si>
  <si>
    <t xml:space="preserve">Mandatory procurement PSO fees </t>
  </si>
  <si>
    <t>Transmission system services</t>
  </si>
  <si>
    <t>KOPĀ ieņēmumi, kas atzīti pēc aģenta principa</t>
  </si>
  <si>
    <t>TOTAL revenue recognised applying agent accounting principle</t>
  </si>
  <si>
    <t>Deferred tax changes</t>
  </si>
  <si>
    <t>Peļņa / (zaudējumi) no pēcnodarbinātības pabalstu novērtēšanas</t>
  </si>
  <si>
    <t>Gains / (losses) as a result of re‒measurement on defined post‒employment benefit plan</t>
  </si>
  <si>
    <t>Comprehensive income to be reclassified to profit or loss in subsequent periods (net of tax):</t>
  </si>
  <si>
    <t>Net comprehensive income to be reclassified to profit or loss in subsequent periods</t>
  </si>
  <si>
    <t>Comprehensive income / (loss) not to be reclassified to profit or loss in subsequent periods (net of tax):</t>
  </si>
  <si>
    <t>Net comprehensive income not to be reclassified to profit or loss in subsequent periods</t>
  </si>
  <si>
    <t>Comprehensive income for the year, net of tax</t>
  </si>
  <si>
    <t>Total comprehensive income for the year</t>
  </si>
  <si>
    <t>Peļņas vai zaudējumu aprēķins</t>
  </si>
  <si>
    <t>Statement of Profit or Loss</t>
  </si>
  <si>
    <t>Statement of Comprehensive Income</t>
  </si>
  <si>
    <t>Received dividends from subsidiaries</t>
  </si>
  <si>
    <t>No meitassabiedrībām saņemtās dividendes</t>
  </si>
  <si>
    <t>Statement of Financial Position</t>
  </si>
  <si>
    <t>Pārskats par finanšu stāvokli</t>
  </si>
  <si>
    <t>Ilgtermiņa aizdevumi meitassabiedrībām</t>
  </si>
  <si>
    <t>Non–current loans to subsidiaries</t>
  </si>
  <si>
    <t>Prepayment for inventories</t>
  </si>
  <si>
    <t>Other trade and current receivables</t>
  </si>
  <si>
    <t>Citi pircēju un pasūtītāju parādi un pārējie īstermiņa debitori</t>
  </si>
  <si>
    <t>Īstermiņa aizdevumi meitassabiedrībām</t>
  </si>
  <si>
    <t>Current loans to subsidiaries</t>
  </si>
  <si>
    <r>
      <t>5.</t>
    </r>
    <r>
      <rPr>
        <b/>
        <sz val="12"/>
        <color rgb="FF054F95"/>
        <rFont val="Times New Roman"/>
        <family val="1"/>
        <charset val="186"/>
      </rPr>
      <t> </t>
    </r>
    <r>
      <rPr>
        <b/>
        <sz val="12"/>
        <color rgb="FF054F95"/>
        <rFont val="Arial"/>
        <family val="2"/>
        <charset val="186"/>
      </rPr>
      <t>DARBĪBAS SEGMENTU INFORMĀCIJA</t>
    </r>
  </si>
  <si>
    <r>
      <t>13.</t>
    </r>
    <r>
      <rPr>
        <b/>
        <sz val="12"/>
        <color rgb="FF054F95"/>
        <rFont val="Times New Roman"/>
        <family val="1"/>
        <charset val="186"/>
      </rPr>
      <t> </t>
    </r>
    <r>
      <rPr>
        <b/>
        <sz val="12"/>
        <color rgb="FF054F95"/>
        <rFont val="Arial"/>
        <family val="2"/>
        <charset val="186"/>
      </rPr>
      <t>NEMATERIĀLIE IEGULDĪJUMI</t>
    </r>
  </si>
  <si>
    <r>
      <t>7.</t>
    </r>
    <r>
      <rPr>
        <b/>
        <sz val="8"/>
        <color rgb="FF054F95"/>
        <rFont val="Times New Roman"/>
        <family val="1"/>
        <charset val="186"/>
      </rPr>
      <t>  </t>
    </r>
    <r>
      <rPr>
        <b/>
        <sz val="12"/>
        <color rgb="FF054F95"/>
        <rFont val="Arial"/>
        <family val="2"/>
        <charset val="186"/>
      </rPr>
      <t>PĀRĒJIE IEŅĒMUMI</t>
    </r>
  </si>
  <si>
    <r>
      <t>9.</t>
    </r>
    <r>
      <rPr>
        <b/>
        <sz val="8"/>
        <color rgb="FF054F95"/>
        <rFont val="Times New Roman"/>
        <family val="1"/>
        <charset val="186"/>
      </rPr>
      <t> </t>
    </r>
    <r>
      <rPr>
        <b/>
        <sz val="12"/>
        <color rgb="FF054F95"/>
        <rFont val="Arial"/>
        <family val="2"/>
        <charset val="186"/>
      </rPr>
      <t>PERSONĀLA IZMAKSAS</t>
    </r>
  </si>
  <si>
    <r>
      <t xml:space="preserve">8. </t>
    </r>
    <r>
      <rPr>
        <b/>
        <sz val="12"/>
        <color rgb="FF054F95"/>
        <rFont val="Arial"/>
        <family val="2"/>
        <charset val="186"/>
      </rPr>
      <t>IZLIETOTĀS IZEJVIELAS UN MATERIĀLI</t>
    </r>
  </si>
  <si>
    <r>
      <t>11.</t>
    </r>
    <r>
      <rPr>
        <b/>
        <sz val="8"/>
        <color rgb="FF054F95"/>
        <rFont val="Times New Roman"/>
        <family val="1"/>
        <charset val="186"/>
      </rPr>
      <t> </t>
    </r>
    <r>
      <rPr>
        <b/>
        <sz val="12"/>
        <color rgb="FF054F95"/>
        <rFont val="Arial"/>
        <family val="2"/>
        <charset val="186"/>
      </rPr>
      <t>FINANŠU IEŅĒMUMI UN IZMAKSAS</t>
    </r>
  </si>
  <si>
    <t>SFPS Nr. 15 „Ieņēmumi no līgumiem ar klientiem” ieviešanas efekts</t>
  </si>
  <si>
    <t>2017. gada 1. janvārī</t>
  </si>
  <si>
    <t>Pārskats par izmaiņām pašu kapitālā</t>
  </si>
  <si>
    <t>Statement of Changes in Equity</t>
  </si>
  <si>
    <t>Implementation effect of IFRS 15 ‘Revenue from Contracts with Customers’</t>
  </si>
  <si>
    <t>As of 1 January 2017</t>
  </si>
  <si>
    <t>Reversēts atliktais uzņēmumu ienākuma nodoklis</t>
  </si>
  <si>
    <t>Comprehensive income</t>
  </si>
  <si>
    <t>TOTAL comprehensive income for the year</t>
  </si>
  <si>
    <t xml:space="preserve"> ‒ Fair value loss / (gains) on derivative financial instruments</t>
  </si>
  <si>
    <t xml:space="preserve"> ‒ uzkrājumu pieaugums / (samazinājums)</t>
  </si>
  <si>
    <t xml:space="preserve"> ‒ Increase / (decrease) in provisions</t>
  </si>
  <si>
    <t xml:space="preserve"> ‒ nerealizētie ieņēmumi no valūtas kursu svārstībām</t>
  </si>
  <si>
    <t xml:space="preserve"> ‒ Unrealised income on currency translation differences</t>
  </si>
  <si>
    <t>Parādu piegādātājiem un pārējo kreditoru pieaugums / (samazinājums)</t>
  </si>
  <si>
    <t>Samaksātais uzņēmumu ienākuma nodoklis</t>
  </si>
  <si>
    <t>Paid corporate income tax</t>
  </si>
  <si>
    <t>Repayment of issued debt securities (bonds)</t>
  </si>
  <si>
    <t>Parādi par elektroenerģiju un dabasgāzi</t>
  </si>
  <si>
    <t>Payables for electricity and natural gas</t>
  </si>
  <si>
    <t xml:space="preserve"> ‒ no meitassabiedrībām saņemtās dividendes</t>
  </si>
  <si>
    <t xml:space="preserve"> ‒ Received dividends from subsidiaries</t>
  </si>
  <si>
    <t>Izsniegtie aizdevumi meitassabiedrībām</t>
  </si>
  <si>
    <t>Loans issued to subsidiaries</t>
  </si>
  <si>
    <t>Atmaksātie aizdevumi meitassabiedrībām</t>
  </si>
  <si>
    <t>Repayment of loans issued to subsidiaries</t>
  </si>
  <si>
    <t>Proceeds from investments in subsidiaries</t>
  </si>
  <si>
    <t>Pārskats par naudas plūsmām</t>
  </si>
  <si>
    <t>Statement of Cash Flows</t>
  </si>
  <si>
    <t>Ieņēmumi no ieguldījumiem meitassabiedrībās</t>
  </si>
  <si>
    <t>Pozīciju pārklasifikācija</t>
  </si>
  <si>
    <t>SFPS Nr. 15 ieviešanas efekts</t>
  </si>
  <si>
    <t>Kumulatīvais efekts ieviešot SFPS Nr. 15:</t>
  </si>
  <si>
    <r>
      <t>16.</t>
    </r>
    <r>
      <rPr>
        <b/>
        <sz val="12"/>
        <color rgb="FF054F95"/>
        <rFont val="Times New Roman"/>
        <family val="1"/>
        <charset val="186"/>
      </rPr>
      <t>   </t>
    </r>
    <r>
      <rPr>
        <b/>
        <sz val="12"/>
        <color rgb="FF054F95"/>
        <rFont val="Arial"/>
        <family val="2"/>
        <charset val="186"/>
      </rPr>
      <t>KRĀJUMI</t>
    </r>
  </si>
  <si>
    <t>Other financial receivables from related parties</t>
  </si>
  <si>
    <t>Citi saistīto pušu finanšu debitori</t>
  </si>
  <si>
    <t>Nomas maksas parādi</t>
  </si>
  <si>
    <t>Receivables for lease</t>
  </si>
  <si>
    <t>– meitassabiedrības</t>
  </si>
  <si>
    <t>– Subsidiaries</t>
  </si>
  <si>
    <t>– Electricity, natural gas trade and related services customers</t>
  </si>
  <si>
    <t>– par elektroenerģiju un dabasgāzi un ar tiem saistītiem pakalpojumiem</t>
  </si>
  <si>
    <t>Receivables from contracts with customers:</t>
  </si>
  <si>
    <t>Provisions for impaired receivables from contracts with customers:</t>
  </si>
  <si>
    <t>Receivables from contracts with customers, net:</t>
  </si>
  <si>
    <t>a) Receivables from contracts with customers, net</t>
  </si>
  <si>
    <t>a) Parādi no līgumiem ar klientiem, neto</t>
  </si>
  <si>
    <t>Parādi no līgumiem ar klientiem:</t>
  </si>
  <si>
    <t>Neto parādi no līgumiem ar klientiem:</t>
  </si>
  <si>
    <t>Elektroenerģijas, dabasgāzes un ar tiem saistīto pakalpojumu debitoru sadalījums pa kavētām dienām un uzkrājumu aprēķins</t>
  </si>
  <si>
    <t>Electricity, natural gas trade and related services receivables grouped by past due days and calculated impairment loss</t>
  </si>
  <si>
    <t>Elektroenerģijas, dabasgāzes un ar tiem saistīto pakalpojumu debitori:</t>
  </si>
  <si>
    <t>Electricity, natural gas trade and related services receivables:</t>
  </si>
  <si>
    <t>Provisions for impaired electricity, natural gas trade and related services receivables:</t>
  </si>
  <si>
    <t>Uzkrājumi elektroenerģijas, dabasgāzes un ar tiem saistīto pakalpojumu debitoru parādu vērtības samazinājumam:</t>
  </si>
  <si>
    <t>Neto elektroenerģijas, dabasgāzes un ar tiem saistīto pakalpojumu debitori:</t>
  </si>
  <si>
    <t>Electricity, natural gas trade and related services receivables, net</t>
  </si>
  <si>
    <t>Heating and other receivables from contracts with customers grouped by past due days and calculated impairment loss</t>
  </si>
  <si>
    <t>Siltumenerģijas un citu parādu no līgumiem ar klientiem sadalījums pa kavētām dienām un uzkrājumu aprēķins</t>
  </si>
  <si>
    <t>c) other</t>
  </si>
  <si>
    <t xml:space="preserve">c) pārējie </t>
  </si>
  <si>
    <t>b) from lease</t>
  </si>
  <si>
    <t>b) no nomas</t>
  </si>
  <si>
    <t>a) from contracts from customers</t>
  </si>
  <si>
    <t>a) no līgumiem ar klientiem</t>
  </si>
  <si>
    <t>II) Current deferred income</t>
  </si>
  <si>
    <t>II) Īstermiņa nākamo periodu ieņēmumi</t>
  </si>
  <si>
    <t>I) Non‒current deferred income</t>
  </si>
  <si>
    <t>I) Ilgtermiņa nākamo periodu ieņēmumi</t>
  </si>
  <si>
    <t>Pārklasificēts no ieguldījuma īpašumiem</t>
  </si>
  <si>
    <t xml:space="preserve">Pārklasificēts uz pamatlīdzekļiem </t>
  </si>
  <si>
    <t>Reclassified to property, plant and equipment</t>
  </si>
  <si>
    <t>Ārpus Latvijas</t>
  </si>
  <si>
    <t>Outside Latvia</t>
  </si>
  <si>
    <t>Termination benefits paid</t>
  </si>
  <si>
    <t>Provisions for current termination benefits</t>
  </si>
  <si>
    <r>
      <t xml:space="preserve">Provisions for </t>
    </r>
    <r>
      <rPr>
        <sz val="8"/>
        <color rgb="FF000000"/>
        <rFont val="Arial"/>
        <family val="2"/>
        <charset val="186"/>
      </rPr>
      <t>non–current termination benefits</t>
    </r>
  </si>
  <si>
    <t>Impact on provisions for termination benefits</t>
  </si>
  <si>
    <t>Fully performing electricity, natural gas trade and related services receivables:</t>
  </si>
  <si>
    <t>Elektroenerģijas, dabasgāzes un ar tiem saistīto pakalpojumu debitori, kas nav kavējuši un kuriem nav izveidoti uzkrājumi:</t>
  </si>
  <si>
    <r>
      <t xml:space="preserve">‒   </t>
    </r>
    <r>
      <rPr>
        <sz val="8"/>
        <color indexed="8"/>
        <rFont val="Arial"/>
        <family val="2"/>
        <charset val="186"/>
      </rPr>
      <t>klienti, kuri ir kavējuši maksājumu termiņus un kuriem ir veidoti uzkrājumi</t>
    </r>
  </si>
  <si>
    <r>
      <t xml:space="preserve">‒   </t>
    </r>
    <r>
      <rPr>
        <sz val="8"/>
        <color indexed="8"/>
        <rFont val="Arial"/>
        <family val="2"/>
        <charset val="186"/>
      </rPr>
      <t>klienti, kuri nav kavējuši maksājumu termiņus un kuriem nav veidoti uzkrājumi</t>
    </r>
  </si>
  <si>
    <r>
      <t xml:space="preserve">‒     </t>
    </r>
    <r>
      <rPr>
        <sz val="8"/>
        <color indexed="8"/>
        <rFont val="Arial"/>
        <family val="2"/>
        <charset val="186"/>
      </rPr>
      <t>customers with no overdue receivables and not impaired</t>
    </r>
  </si>
  <si>
    <r>
      <t xml:space="preserve">‒     </t>
    </r>
    <r>
      <rPr>
        <sz val="8"/>
        <color indexed="8"/>
        <rFont val="Arial"/>
        <family val="2"/>
        <charset val="186"/>
      </rPr>
      <t>customers with overdue receivables with impaired receivables</t>
    </r>
  </si>
  <si>
    <t>Atliktā nodokļa reversēšana</t>
  </si>
  <si>
    <t xml:space="preserve">Atliktā nodokļa izmaiņas </t>
  </si>
  <si>
    <t>Current income tax for the year</t>
  </si>
  <si>
    <t>Deferred income tax relating to origination and reversal of temporary differences</t>
  </si>
  <si>
    <t>12.  UZŅĒMUMU IENĀKUMA NODOKLIS UN ATLIKTAIS NODOKLIS</t>
  </si>
  <si>
    <t>Reversal of deferred tax</t>
  </si>
  <si>
    <t>Atliktā nodokļa kustība:</t>
  </si>
  <si>
    <t>The movement on the deferred income tax accounts:</t>
  </si>
  <si>
    <t>Atliktā nodokļa saistības pārskata gada sākumā</t>
  </si>
  <si>
    <t>Deferred tax liabilities at the beginning of the year</t>
  </si>
  <si>
    <t>Atliktā nodokļa saistības pārskata gada beigās pirms reversēšanas</t>
  </si>
  <si>
    <t>Deferred tax liabilities at the end of the year before reversal</t>
  </si>
  <si>
    <t>Reversētas peļņas vai zaudējumu aprēķinā</t>
  </si>
  <si>
    <t>Reversed in the Statement of Profit or Loss</t>
  </si>
  <si>
    <t>Deferred corporate income tax liabilities</t>
  </si>
  <si>
    <t>Paātrinātais nolietojums nodokļu vajadzībām</t>
  </si>
  <si>
    <t>Accelerated depreciation for tax purposes</t>
  </si>
  <si>
    <t>Attiecināts pret ilgtermiņa ieguldījumu pārvērtēšanas rezervi</t>
  </si>
  <si>
    <t>Attributable to non‒current assets revaluation reserve</t>
  </si>
  <si>
    <t>Attiecināts pret pēcnodarbinātības pabalstu novērtēšanu</t>
  </si>
  <si>
    <t>Attributable to re–measurement on defined post–employment benefit plan</t>
  </si>
  <si>
    <t>Bruto atliktā uzņēmumu ienākuma nodokļa saistības</t>
  </si>
  <si>
    <t>Gross deferred corporate income tax liabilities</t>
  </si>
  <si>
    <t>Atliktā uzņēmumu ienākuma nodokļa aktīvi</t>
  </si>
  <si>
    <t>Deferred corporate income tax assets</t>
  </si>
  <si>
    <t>Uz nākamajiem periodiem pārnesti nodokļu zaudējumi</t>
  </si>
  <si>
    <t>Tax loss carried forward</t>
  </si>
  <si>
    <t>Personāla izmaksu uzkrājumi</t>
  </si>
  <si>
    <t>Accrued personnel expenses</t>
  </si>
  <si>
    <t>Uzkrājumi krājumu vērtības samazinājumam</t>
  </si>
  <si>
    <t>Provisions for impaired inventories</t>
  </si>
  <si>
    <t>Bruto atliktā uzņēmumu ienākuma nodokļa aktīvi</t>
  </si>
  <si>
    <t>Gross deferred corporate income tax assets</t>
  </si>
  <si>
    <t>Neto atliktā uzņēmumu ienākuma nodokļa saistības pirms reversēšanas</t>
  </si>
  <si>
    <t>Net deferred corporate income tax liabilities before reversal</t>
  </si>
  <si>
    <t>Atliktā nodokļa saistību reversēšana*:</t>
  </si>
  <si>
    <t>Peļņas vai zaudējumu aprēķinā</t>
  </si>
  <si>
    <t>Neto atliktā uzņēmumu ienākuma nodokļa saistības</t>
  </si>
  <si>
    <t>Neto atliktā uzņēmumu ienākuma nodokļa ieņēmumi</t>
  </si>
  <si>
    <t>Net income from deferred corporate income tax</t>
  </si>
  <si>
    <t>* atliktā nodokļa saistības reversētas peļņas vai zaudējumu aprēķinā  un rezervēs, jo sākotnēji tika uzskaitīts rezervju sastāvā, 2017. gadā saskaņā ar Latvijas Republikas nodokļu normatīvo aktu izmaiņām, kuras stājās spēkā, sākot ar 2018. gada 1. janvāri</t>
  </si>
  <si>
    <t>Pārskats par finanšu stāvokli/Statement of Financial Position</t>
  </si>
  <si>
    <t>Peļņas vai zaudējumu aprēķins/Statement of Profit or Loss</t>
  </si>
  <si>
    <t xml:space="preserve">Deferred income tax has been calculated from the following temporary differences between assets and liabilities values for financial reporting and tax purposes: </t>
  </si>
  <si>
    <t>Reversal of deferred tax*:</t>
  </si>
  <si>
    <t>In Statement of Profit or Loss</t>
  </si>
  <si>
    <t>Net deferred corporate income tax (liabilities)</t>
  </si>
  <si>
    <t>Uzkrājumi atvasinātajiem finanšu instrumentiem</t>
  </si>
  <si>
    <t>Provisions for derivative financial instruments</t>
  </si>
  <si>
    <t>Citi uzkrājumi</t>
  </si>
  <si>
    <t>Other provisions</t>
  </si>
  <si>
    <t>Neto atliktā uzņēmumu ienākuma nodokļa ieņēmumi pirms reversēšanas</t>
  </si>
  <si>
    <t>Net deferred corporate income tax income before reversal</t>
  </si>
  <si>
    <t>Ieņēmumi peļņas vai zaudējumu aprēķinā</t>
  </si>
  <si>
    <t>Income credited to the Statement of Profit or Loss</t>
  </si>
  <si>
    <t>Pastāvīgās atšķirības:</t>
  </si>
  <si>
    <t>Permanent differences:</t>
  </si>
  <si>
    <t>Tax at the applicable tax rate of 15%</t>
  </si>
  <si>
    <t>Teorētiski aprēķinātais ienākuma nodoklis – 15 %</t>
  </si>
  <si>
    <t>Pārskata gada faktiskais uzņēmumu ienākuma nodoklis</t>
  </si>
  <si>
    <t>Actual corporate income tax for the reporting year</t>
  </si>
  <si>
    <t>Atliktā uzņēmumu ienākuma nodokļa reversēšana</t>
  </si>
  <si>
    <t>The Group derives revenue from Latvia and outside Latvia.</t>
  </si>
  <si>
    <t>Koncerns gūst ieņēmumus Latvijā un ārpus Latvijas.</t>
  </si>
  <si>
    <t>TOTAL revenue from contracts with customers</t>
  </si>
  <si>
    <t xml:space="preserve">      – mazumtirdzniecība</t>
  </si>
  <si>
    <t xml:space="preserve">      – vairumtirdzniecība</t>
  </si>
  <si>
    <t>Pārdotā elektroenerģija:</t>
  </si>
  <si>
    <t>Elektroenerģijas izstrāde</t>
  </si>
  <si>
    <t>Total electricity supply, incl.:</t>
  </si>
  <si>
    <t xml:space="preserve">      – Retail</t>
  </si>
  <si>
    <t xml:space="preserve">      – Wholesale</t>
  </si>
  <si>
    <t>Electricity generation</t>
  </si>
  <si>
    <t>Thermal energy generation</t>
  </si>
  <si>
    <t xml:space="preserve">Pārklasificēts no pamatlīdzekļiem uz ieguldījuma īpašumiem </t>
  </si>
  <si>
    <t>Ilgtermiņa aizdevums:</t>
  </si>
  <si>
    <t>Non–current loan:</t>
  </si>
  <si>
    <t xml:space="preserve">– 1 gads vai mazāk </t>
  </si>
  <si>
    <r>
      <t>–</t>
    </r>
    <r>
      <rPr>
        <sz val="8"/>
        <color rgb="FF000000"/>
        <rFont val="Times New Roman"/>
        <family val="1"/>
        <charset val="186"/>
      </rPr>
      <t> &lt; </t>
    </r>
    <r>
      <rPr>
        <sz val="8"/>
        <color rgb="FF000000"/>
        <rFont val="Arial"/>
        <family val="2"/>
        <charset val="186"/>
      </rPr>
      <t>1 year</t>
    </r>
  </si>
  <si>
    <t>– 1 – 5 gadi</t>
  </si>
  <si>
    <t>– 1 – 5 years</t>
  </si>
  <si>
    <t>– virs 5 gadiem</t>
  </si>
  <si>
    <r>
      <t>–</t>
    </r>
    <r>
      <rPr>
        <sz val="8"/>
        <color rgb="FF000000"/>
        <rFont val="Times New Roman"/>
        <family val="1"/>
        <charset val="186"/>
      </rPr>
      <t> </t>
    </r>
    <r>
      <rPr>
        <sz val="8"/>
        <color rgb="FF000000"/>
        <rFont val="Arial"/>
        <family val="2"/>
        <charset val="186"/>
      </rPr>
      <t>&gt; 5 years</t>
    </r>
  </si>
  <si>
    <t>Ilgtermiņa  aizdevums:</t>
  </si>
  <si>
    <t xml:space="preserve">– 1 gads vai mazāk </t>
  </si>
  <si>
    <t>– &lt; 1 year</t>
  </si>
  <si>
    <t>– 1 – 5 gadi</t>
  </si>
  <si>
    <t>– 1 – 5 years</t>
  </si>
  <si>
    <t>Kopā ilgtermiņa aizdevumi</t>
  </si>
  <si>
    <t>Total non–current loans</t>
  </si>
  <si>
    <t>Ilgtermiņa aizdevumu  īstermiņa daļa</t>
  </si>
  <si>
    <t>Current portion of non–current loans</t>
  </si>
  <si>
    <t>AS „Enerģijas publiskais tirgotājs”</t>
  </si>
  <si>
    <t>Kopā īstermiņa aizdevumi</t>
  </si>
  <si>
    <t xml:space="preserve">Total current loans </t>
  </si>
  <si>
    <t>Kopā aizdevumi meitassabiedrībām</t>
  </si>
  <si>
    <t>TOTAL loans to subsidiaries</t>
  </si>
  <si>
    <t>Izsniegti īstermiņa aizdevumi (neto)</t>
  </si>
  <si>
    <t>Issued current loans (net)</t>
  </si>
  <si>
    <t>Atmaksāti ilgtermiņa aizdevumi</t>
  </si>
  <si>
    <r>
      <t>Repaid non</t>
    </r>
    <r>
      <rPr>
        <sz val="9"/>
        <rFont val="Arial"/>
        <family val="2"/>
        <charset val="186"/>
      </rPr>
      <t>–</t>
    </r>
    <r>
      <rPr>
        <sz val="8"/>
        <rFont val="Arial"/>
        <family val="2"/>
        <charset val="186"/>
      </rPr>
      <t>current loans</t>
    </r>
  </si>
  <si>
    <t>Saņemtie procenti</t>
  </si>
  <si>
    <t>Samaksātie procenti</t>
  </si>
  <si>
    <t>Ieņēmumi:</t>
  </si>
  <si>
    <t>Income:</t>
  </si>
  <si>
    <t xml:space="preserve"> – meitassabiedrības</t>
  </si>
  <si>
    <t xml:space="preserve"> – Subsidiaries</t>
  </si>
  <si>
    <t>Izmaksas:</t>
  </si>
  <si>
    <t>Expenses:</t>
  </si>
  <si>
    <t xml:space="preserve">   tai skaitā izmaksas no darījumiem ar meitassabiedrībām, kas atzītas peļņas vai zaudējumu aprēķinā neto vērtībā:</t>
  </si>
  <si>
    <t xml:space="preserve">    including expenses from transactions with subsidiaries recognised in net amount through profit or loss:</t>
  </si>
  <si>
    <t xml:space="preserve">  – AS „Sadales tīkls”</t>
  </si>
  <si>
    <t xml:space="preserve">  – Sadales tīkls AS</t>
  </si>
  <si>
    <t xml:space="preserve">  – AS „Enerģijas publiskais tirgotājs”</t>
  </si>
  <si>
    <t xml:space="preserve">  – Enerģijas publiskais tirgotājs AS</t>
  </si>
  <si>
    <t>Avansa maksājums par krājumiem:</t>
  </si>
  <si>
    <t>Debitoru parādi:</t>
  </si>
  <si>
    <t>Kreditoru saistības:</t>
  </si>
  <si>
    <t xml:space="preserve"> – pārējās saistītās personas**</t>
  </si>
  <si>
    <t xml:space="preserve"> – Other related parties**</t>
  </si>
  <si>
    <t>* advance payment for subsidiary - Elektrum Eesti OÜ</t>
  </si>
  <si>
    <t>** AS „Pirmais Slēgtais Pensiju fonds”</t>
  </si>
  <si>
    <t>** Pirmais Slēgtais Pensiju fonds AS</t>
  </si>
  <si>
    <t>c) uzkrātie ieņēmumi, kas radušies no darījumiem ar saistītajām pusēm:</t>
  </si>
  <si>
    <t>c) Accrued income raised from transactions with related parties:</t>
  </si>
  <si>
    <t>d) uzkrātās saistības, kas radušās no darījumiem ar saistītajām pusēm:</t>
  </si>
  <si>
    <t>d) Accrued expenses raised from transactions with related parties:</t>
  </si>
  <si>
    <t xml:space="preserve"> – par iepirktajām precēm un saņemtajiem pakalpojumiem</t>
  </si>
  <si>
    <t xml:space="preserve"> – For purchased goods / received services from subsidiaries</t>
  </si>
  <si>
    <t>Prepayments for inventories:</t>
  </si>
  <si>
    <t>Quantification of transactions with those related parties is impossible due to broad range of the Company’s customers.</t>
  </si>
  <si>
    <t>KOPĀ Koncerns</t>
  </si>
  <si>
    <t>Aizdevumi meitassabiedrībām</t>
  </si>
  <si>
    <t>Izmaksas iekļautas peļņas vai zaudējumu aprēķinā</t>
  </si>
  <si>
    <t>Charged to the  Statement of Profit or Loss</t>
  </si>
  <si>
    <t>Included in the Statement of Profit or Loss</t>
  </si>
  <si>
    <t>Iekļauts peļņas vai zaudējumu aprēķinā</t>
  </si>
  <si>
    <t>Charged to the Statement of Profit or Loss</t>
  </si>
  <si>
    <t>Iekļauts peļņas vai zaudējumu aprēķinā (6. pielikuma pozīcijā "Pārējie ieņēmumi")</t>
  </si>
  <si>
    <t>Credited to the Statement of Profit or Loss (Note 6 "Other revenue")</t>
  </si>
  <si>
    <t>Included in the Statement of Profit or Loss (Note 8)</t>
  </si>
  <si>
    <t>Iekļauts peļņas vai zaudējumu aprēķinā (8. pielikums)</t>
  </si>
  <si>
    <t>Credited to the Statement of Profit or Loss</t>
  </si>
  <si>
    <t>Charged to the retained earnings</t>
  </si>
  <si>
    <t>Iekļauts ieņēmumos peļņas vai zaudējumu aprēķinā</t>
  </si>
  <si>
    <t>Iekļauts nesadalītajā peļņā</t>
  </si>
  <si>
    <t>Operating liabilities</t>
  </si>
  <si>
    <t>Operating assets</t>
  </si>
  <si>
    <t>Loans to subsidiaries</t>
  </si>
  <si>
    <t>Aizdevumi meitassabiedrībām ar mainīgām procentu likmēm (25. e pielikums)</t>
  </si>
  <si>
    <t>Aizdevumi meitassabiedrībām ar fiksētām procentu likmēm (25. e pielikums)</t>
  </si>
  <si>
    <t>Floating rate loans to subsidiaries (Note 25 e)</t>
  </si>
  <si>
    <t>Fixed rate loans to subsidiaries (Note 25 e)</t>
  </si>
  <si>
    <t>Pārvērtētie pamatlīdzekļi (14. c pielikums)</t>
  </si>
  <si>
    <t>c) Environmental provisions</t>
  </si>
  <si>
    <t>Agreement conclusion date</t>
  </si>
  <si>
    <t>Principal amount of the loan</t>
  </si>
  <si>
    <t>Interest rate</t>
  </si>
  <si>
    <t>Maturity date</t>
  </si>
  <si>
    <t>fixed rate</t>
  </si>
  <si>
    <t>10/06/2016*</t>
  </si>
  <si>
    <t xml:space="preserve"> 29/09/2011</t>
  </si>
  <si>
    <t>6 months EURIBOR + fixed rate</t>
  </si>
  <si>
    <t>Ar saimniecisko darbību nesaistītās izmaksas</t>
  </si>
  <si>
    <t>Non-operating expenses</t>
  </si>
  <si>
    <t>Procentu likme</t>
  </si>
  <si>
    <t>Fiksēta likme</t>
  </si>
  <si>
    <t>Līguma noslēgšanas datums</t>
  </si>
  <si>
    <t>Aizdevumu līgumu pamatsumma</t>
  </si>
  <si>
    <t>Atmaksas termiņš</t>
  </si>
  <si>
    <t>6 mēnešu EURIBOR+ pievienotā likme</t>
  </si>
  <si>
    <t>Total charged/credited provisions are included in the Statement of Profit or Loss position ‘Personnel expenses’ within state social insurance contributions and other benefits defined in the Collective agreement (Note 9), while losses as a result on re–measurement on defined post–employment benefit plan net of deferred income tax are included in the Statement of Other Comprehensive Income, according to IAS 19 Employee Benefits:</t>
  </si>
  <si>
    <t>Kopējie izveidotie un norakstītie uzkrājumi ir iekļauti peļņas vai zaudējumu aprēķina pozīcijā „Personāla izmaksas” kā valsts sociālās apdrošināšanas obligātās iemaksas un citi Darba koplīgumā noteiktie pabalsti (9. pielikums), savukārt aktuāra pieņēmumu izmaiņu rezultātā radušies zaudējumi, atskaitot uzņēmumu ienākuma nodokli, ir iekļauti vispārējo ieņēmumu pārskatā, pamatojoties uz SGS Nr. 19 „Darbinieku pabalsti”:</t>
  </si>
  <si>
    <t>‒ Electricity trading derivatives</t>
  </si>
  <si>
    <t xml:space="preserve">227 686 </t>
  </si>
  <si>
    <t xml:space="preserve">224 538 </t>
  </si>
  <si>
    <t>183 980</t>
  </si>
  <si>
    <t>Reversed deferred corporate income tax</t>
  </si>
  <si>
    <t>Finanšu aktīvi patiesajā vērtībā ar pārvērtēšanu peļņas vai zaudējumu aprēķinā:</t>
  </si>
  <si>
    <t>Finanšu saistības patiesajā vērtībā ar pārvērtēšanu peļņas vai zaudējumu aprēķinā:</t>
  </si>
  <si>
    <t>Year ended 31 December 2017/ Gads, kas beidzas 2017.gada 31. decembrī</t>
  </si>
  <si>
    <t>Movement in investments in subsidiaries:</t>
  </si>
  <si>
    <t>Share of profit of subsidiaries:</t>
  </si>
  <si>
    <t>Dividends received:</t>
  </si>
  <si>
    <t>Elektrum Eesti  OÜ</t>
  </si>
  <si>
    <t xml:space="preserve">Name </t>
  </si>
  <si>
    <t>Net profit / (loss) for the year</t>
  </si>
  <si>
    <t>Carrying amount of interest from investment</t>
  </si>
  <si>
    <t>Subsidiaries</t>
  </si>
  <si>
    <t>Investment in Pirmais Slēgtais Pensiju Fonds AS</t>
  </si>
  <si>
    <t>Investment in Rīgas siltums AS</t>
  </si>
  <si>
    <t>a) Ieguldījumi meitassabiedrībās</t>
  </si>
  <si>
    <t>Ieguldījumu izmaiņas meitassabiedrībās:</t>
  </si>
  <si>
    <t>Meitassabiedrību peļņas daļa:</t>
  </si>
  <si>
    <t>Saņemtās dividendes</t>
  </si>
  <si>
    <t>SIA „Liepājas enerģija”</t>
  </si>
  <si>
    <t>Meitassabiedrības</t>
  </si>
  <si>
    <t>Sabiedrības nosaukums</t>
  </si>
  <si>
    <t>Pārskata gada peļņa/(zaudējumi)</t>
  </si>
  <si>
    <t>Ieguldījuma daļas uzskaites vērtība</t>
  </si>
  <si>
    <t>Koncerna un mātessabiedrības segmentu ieņēmumi no ārējiem klientiem (6. pielikums)</t>
  </si>
  <si>
    <t>The Group's and the Parent Company’s revenue from external customers (Note 6)</t>
  </si>
  <si>
    <t>KOPĀ ieņēmumi, tai skaitā</t>
  </si>
  <si>
    <t>TOTAL revenue, including</t>
  </si>
  <si>
    <t>Latvijā</t>
  </si>
  <si>
    <t>Movement in other liabilities and deferred income (non–current and current part)</t>
  </si>
  <si>
    <t>Pārvērtēšanas rezultātā radies vērtības pieaugums          (20. a pielikums)</t>
  </si>
  <si>
    <t>Increase due PPE revaluation (Note 20 a)</t>
  </si>
  <si>
    <t>Pārvērtēšanas rezultātā radies vērtības samazinājums</t>
  </si>
  <si>
    <t>Decrease due PPE revaluation</t>
  </si>
  <si>
    <t>Reclassified from investment property</t>
  </si>
  <si>
    <t>Gross amounts transferred to customers by applying agent accounting principle (see Note 4 d), recognized on net basis under trade of energy and related supply services:</t>
  </si>
  <si>
    <t>Mātessabiedrība/Parent Company</t>
  </si>
  <si>
    <t>b) Pārējie debitori</t>
  </si>
  <si>
    <t>b) Other receivables</t>
  </si>
  <si>
    <t>KOPĀ ilgtermiņa debitori</t>
  </si>
  <si>
    <t>Total non‒current receivables</t>
  </si>
  <si>
    <t>KOPĀ īstermiņa debitori</t>
  </si>
  <si>
    <t>Total current receivables</t>
  </si>
  <si>
    <t>Total other receivables</t>
  </si>
  <si>
    <t>Aktīvos atzītie nesaņemtie obligātā iepirkuma komponentes ieņēmumi***</t>
  </si>
  <si>
    <r>
      <t xml:space="preserve">*** piemērojot aģenta uzskaites principu, aktīvos atzītie nesaņemtie obligātā iepirkuma komponentes ieņēmumi tiek atzīti neto vērtībā kā starpība starp ienākumiem no elektroenerģijas pārdošanas </t>
    </r>
    <r>
      <rPr>
        <i/>
        <sz val="8"/>
        <rFont val="Arial"/>
        <family val="2"/>
        <charset val="186"/>
      </rPr>
      <t>Nord Pool</t>
    </r>
    <r>
      <rPr>
        <sz val="8"/>
        <rFont val="Arial"/>
        <family val="2"/>
        <charset val="186"/>
      </rPr>
      <t xml:space="preserve"> elektroenerģijas biržā par tirgus cenu, saņemtajām obligātā iepirkuma komponentēm, saņemto valsts budžeta dotāciju, kas paredzēta obligātā iepirkuma komponenšu izmaksu pieauguma kompensēšanai, un starp maksājumiem elektroenerģijas ražotājiem par obligātā iepirkuma ietvaros iepirkto elektroenerģiju un garantētās jaudas maksājumiem par elektrostacijās uzstādīto elektrisko jaudu (virs 4 MW)</t>
    </r>
  </si>
  <si>
    <t>*** by applying agent principle unsettled revenue on mandatory procurement PSO fee is recognised as assets in net amount as difference between revenue from sale of electricity in Nord Pool power exchange by market price, received mandatory procurement PSO fees, received government grant for compensating the increase of mandatory procurement costs and costs of purchased electricity under the mandatory procurement from electricity generators who generate electricity in efficient cogeneration process or using renewable energy sources, as well as guaranteed fees for installed electrical capacity in cogeneration plants (over 4 MW)</t>
  </si>
  <si>
    <t>Citi ilgtermiņa debitori*</t>
  </si>
  <si>
    <t>Unsettled revenue on mandatory procurement PSO fee recognised as assets***</t>
  </si>
  <si>
    <t>Other non‒current receivables*</t>
  </si>
  <si>
    <t>** On 21 November 2017, the Cabinet of Ministers of the Republic of Latvia accepted an order on one–off compensation to Latvenergo AS on guaranteed support for the installed capacity of cogeneration power plants in the amount of EUR 454,413 thousand (see Note 23)</t>
  </si>
  <si>
    <t>** 2017. gada 21. novembrī Latvijas Republikas Ministru kabinets pieņēma lēmumu par vienreizējo kompensāciju 454 413 tūkstošu EUR apmērā garantētajam atbalstam AS „Latvenergo” koģenerācijas elektrostacijās uzstādītās elektriskās jaudas nodrošināšanai (23. pielikums)</t>
  </si>
  <si>
    <t>* Citu Koncerna ilgtermiņa debitoru sastāvā ietilpst saņemamais finansējums kapitālieguldījumu projektam „330 kV Kurzemes loka izbūve'' 2 941 tūkstošu EUR apmērā</t>
  </si>
  <si>
    <t>* Other non‒current receivables of the Group include financing for capital expenditure project “Construction of the 330 kV Kurzeme loks” in the amount of EUR 2,941 thousand</t>
  </si>
  <si>
    <t>Nomas maksas izmaksas (koncerns un mātessabiedrība ir nomnieks)</t>
  </si>
  <si>
    <t>Rental expense (the Group and the Parent Company  is the lessee)</t>
  </si>
  <si>
    <t>Future minimum lease receivables under non-cancellable operating lease contracts by due dates (the Group and the Parent Company is the lessor):</t>
  </si>
  <si>
    <t>Nākotnes minimālie nomas maksas parādi atbilstoši neatceļamiem operatīvās nomas līgumiem to izpildes datumos (koncerns un mātessabiedrība ir iznomātājs):</t>
  </si>
  <si>
    <t>Nākotnes minimālās nomas maksājumu saistības atbilstoši neatceļamiem operatīvās nomas līgumiem to izpildes datumos (koncerns un mātessabiedrība ir nomnieks):</t>
  </si>
  <si>
    <t>Future minimum lease payments under non-cancellable operating lease contracts by due dates (the Group and the parent Company is the lessee):</t>
  </si>
  <si>
    <t>Samaksātie darba attiecību izbeigšanas pabalsti</t>
  </si>
  <si>
    <t>Uzkrājumi īstermiņa darba attiecību izbeigšanas pabalstiem</t>
  </si>
  <si>
    <t>Uzkrājumi ilgtermiņa darba attiecību izbeigšanas pabalstiem</t>
  </si>
  <si>
    <t>Uzkrājumu darba attiecību izbeigšanas pabalstiem izmaiņas</t>
  </si>
  <si>
    <t>TOTAL non-current liabilities and deferred income</t>
  </si>
  <si>
    <t>KOPĀ ilgtermiņa pārējie kreditori un nākamo periodu ieņēmumi</t>
  </si>
  <si>
    <t>Deferred income from use of allowed effective electrical load (distribution system services)</t>
  </si>
  <si>
    <t>Nākamo periodu ieņēmumi no efektīvās atļautās slodzes izmatošanas (sadales pakalpojums)</t>
  </si>
  <si>
    <t>Deferred income on grant for the installed electrical capacity of CHPPs</t>
  </si>
  <si>
    <t>Nākamo periodu ieņēmumi no dotācijas par TEC uzstādīto elektrisko jaudu</t>
  </si>
  <si>
    <t>Nodoklis, kas piemērots pelņai pirms nodokļiem, atšķiras no teorētiskās nodokļu summas, kas rastos, ja tiktu izmantota peļņai piemērojamā nodokļa likme:</t>
  </si>
  <si>
    <t xml:space="preserve">Atliktais nodoklis aprēķināts no šādām pagaidu atšķirībām starp aktīvu un saistību bilances vērtībām un to vērtībām uzņēmumu ienākuma nodokļa aprēķina mērķiem:                                                                                 </t>
  </si>
  <si>
    <t>The Group has recognised the following liabilities from contracts with customers:</t>
  </si>
  <si>
    <t>Koncerns ir atzinis šādas saistības no līgumiem ar klientiem:</t>
  </si>
  <si>
    <t>Interest income on loans to subsidiaries</t>
  </si>
  <si>
    <t>Total current non-financial receivables</t>
  </si>
  <si>
    <t>Current financial receivables:</t>
  </si>
  <si>
    <t>Current non-financial receivables:</t>
  </si>
  <si>
    <t>KOPĀ īstermiņa ne-finanšu debitori</t>
  </si>
  <si>
    <t>Īstermiņa ne-finanšu debitori</t>
  </si>
  <si>
    <t>15 a</t>
  </si>
  <si>
    <t>Dividends received from subsidiaries</t>
  </si>
  <si>
    <t>Reversal of deferred income tax</t>
  </si>
  <si>
    <t>Reversed to the Statement of comprehensive income</t>
  </si>
  <si>
    <t>Reversētas visaptverošo ienākumu pārskatā</t>
  </si>
  <si>
    <r>
      <t>4)</t>
    </r>
    <r>
      <rPr>
        <sz val="7"/>
        <color indexed="8"/>
        <rFont val="Arial"/>
        <family val="2"/>
        <charset val="186"/>
      </rPr>
      <t xml:space="preserve"> Dividends paid to the equity holder of the Parent Company (see Note 20 b)</t>
    </r>
  </si>
  <si>
    <r>
      <rPr>
        <vertAlign val="superscript"/>
        <sz val="7"/>
        <color indexed="8"/>
        <rFont val="Arial"/>
        <family val="2"/>
        <charset val="186"/>
      </rPr>
      <t>4)</t>
    </r>
    <r>
      <rPr>
        <sz val="7"/>
        <color indexed="8"/>
        <rFont val="Arial"/>
        <family val="2"/>
        <charset val="186"/>
      </rPr>
      <t xml:space="preserve"> Izmaksātās dividendes mātessabiedrības akcionāram. Vairāk informācijas atklāts 20. b pielikumā</t>
    </r>
  </si>
  <si>
    <r>
      <t>5)</t>
    </r>
    <r>
      <rPr>
        <sz val="7"/>
        <color indexed="8"/>
        <rFont val="Arial"/>
        <family val="2"/>
        <charset val="186"/>
      </rPr>
      <t xml:space="preserve"> Net debt = borrowings at the end of the year minus cash and cash equivalents at the end of the year</t>
    </r>
  </si>
  <si>
    <r>
      <t>6)</t>
    </r>
    <r>
      <rPr>
        <sz val="7"/>
        <color indexed="8"/>
        <rFont val="Arial"/>
        <family val="2"/>
        <charset val="186"/>
      </rPr>
      <t xml:space="preserve"> EBITDA margin = EBITDA / revenue</t>
    </r>
  </si>
  <si>
    <r>
      <t>7)</t>
    </r>
    <r>
      <rPr>
        <sz val="7"/>
        <color indexed="8"/>
        <rFont val="Arial"/>
        <family val="2"/>
        <charset val="186"/>
      </rPr>
      <t xml:space="preserve"> Operating profit margin = operating profit / revenue</t>
    </r>
  </si>
  <si>
    <r>
      <t xml:space="preserve">8) </t>
    </r>
    <r>
      <rPr>
        <sz val="7"/>
        <color indexed="8"/>
        <rFont val="Arial"/>
        <family val="2"/>
        <charset val="186"/>
      </rPr>
      <t>Profit before tax margin = profit before tax / revenue</t>
    </r>
  </si>
  <si>
    <r>
      <t>9)</t>
    </r>
    <r>
      <rPr>
        <sz val="7"/>
        <color indexed="8"/>
        <rFont val="Arial"/>
        <family val="2"/>
        <charset val="186"/>
      </rPr>
      <t xml:space="preserve"> Profit margin = profit / revenue</t>
    </r>
  </si>
  <si>
    <r>
      <t>10)</t>
    </r>
    <r>
      <rPr>
        <sz val="7"/>
        <color indexed="8"/>
        <rFont val="Arial"/>
        <family val="2"/>
        <charset val="186"/>
      </rPr>
      <t xml:space="preserve"> Equity–to–asset ratio = total equity at the end of the year / total assets at the end of the year</t>
    </r>
  </si>
  <si>
    <r>
      <t xml:space="preserve">11) </t>
    </r>
    <r>
      <rPr>
        <sz val="7"/>
        <color indexed="8"/>
        <rFont val="Arial"/>
        <family val="2"/>
        <charset val="186"/>
      </rPr>
      <t>Net debt / EBITDA = (net debt at the beginning of the year + net debt at the end of the year) * 0.5 / EBITDA (12-months rolling)</t>
    </r>
  </si>
  <si>
    <r>
      <t xml:space="preserve">12) </t>
    </r>
    <r>
      <rPr>
        <sz val="7"/>
        <color indexed="8"/>
        <rFont val="Arial"/>
        <family val="2"/>
        <charset val="186"/>
      </rPr>
      <t>Net debt / equity = net debt at the end of the year / equity at the end of the year</t>
    </r>
  </si>
  <si>
    <r>
      <t>13)</t>
    </r>
    <r>
      <rPr>
        <sz val="7"/>
        <color indexed="8"/>
        <rFont val="Arial"/>
        <family val="2"/>
        <charset val="186"/>
      </rPr>
      <t xml:space="preserve"> Current ratio = current assets at the end of the year / current liabilities at the end of the year</t>
    </r>
  </si>
  <si>
    <r>
      <t xml:space="preserve">14) </t>
    </r>
    <r>
      <rPr>
        <sz val="7"/>
        <color indexed="8"/>
        <rFont val="Arial"/>
        <family val="2"/>
        <charset val="186"/>
      </rPr>
      <t>Return on assets (ROA) = profit / average value of assets ((assets at the beginning of the year + assets at the end of the year) / 2)</t>
    </r>
  </si>
  <si>
    <r>
      <t>15)</t>
    </r>
    <r>
      <rPr>
        <sz val="7"/>
        <color indexed="8"/>
        <rFont val="Arial"/>
        <family val="2"/>
        <charset val="186"/>
      </rPr>
      <t xml:space="preserve"> Return on equity (ROE) = profit / average value of equity ((equity at the beginning of the year + equity at the end of the year) / 2)</t>
    </r>
  </si>
  <si>
    <r>
      <t>16)</t>
    </r>
    <r>
      <rPr>
        <sz val="7"/>
        <color indexed="8"/>
        <rFont val="Arial"/>
        <family val="2"/>
        <charset val="186"/>
      </rPr>
      <t xml:space="preserve"> Return on capital employed (ROCE) = operating profit / (average value of equity ((equity at the beginning of the year + equity at the end of the year) / 2) + average value of borrowings ((borrowings at the beginning of the year + borrowings at the end of the year) / 2))</t>
    </r>
  </si>
  <si>
    <r>
      <t>17)</t>
    </r>
    <r>
      <rPr>
        <sz val="7"/>
        <color indexed="8"/>
        <rFont val="Arial"/>
        <family val="2"/>
        <charset val="186"/>
      </rPr>
      <t xml:space="preserve"> Dividend pay–out ratio = dividends / profit of the Parent Company</t>
    </r>
  </si>
  <si>
    <r>
      <t xml:space="preserve">5) </t>
    </r>
    <r>
      <rPr>
        <sz val="7"/>
        <color indexed="8"/>
        <rFont val="Arial"/>
        <family val="2"/>
        <charset val="186"/>
      </rPr>
      <t>Neto aizņēmumi = aizņēmumi gada beigās mīnus nauda un naudas ekvivalenti gada beigās</t>
    </r>
  </si>
  <si>
    <r>
      <t>6)</t>
    </r>
    <r>
      <rPr>
        <sz val="7"/>
        <color indexed="8"/>
        <rFont val="Arial"/>
        <family val="2"/>
        <charset val="186"/>
      </rPr>
      <t xml:space="preserve"> EBITDA rentabilitāte = EBITDA / ieņēmumi</t>
    </r>
  </si>
  <si>
    <r>
      <t xml:space="preserve">7) </t>
    </r>
    <r>
      <rPr>
        <sz val="7"/>
        <color indexed="8"/>
        <rFont val="Arial"/>
        <family val="2"/>
        <charset val="186"/>
      </rPr>
      <t>Saimnieciskās darbības peļņas rentabilitāte = saimnieciskās darbības peļņa / ieņēmumi</t>
    </r>
  </si>
  <si>
    <r>
      <t>8)</t>
    </r>
    <r>
      <rPr>
        <sz val="7"/>
        <color indexed="8"/>
        <rFont val="Arial"/>
        <family val="2"/>
        <charset val="186"/>
      </rPr>
      <t xml:space="preserve"> Peļņas pirms nodokļiem rentabilitāte = peļņa pirms nodokļiem / ieņēmumi</t>
    </r>
  </si>
  <si>
    <r>
      <t>9)</t>
    </r>
    <r>
      <rPr>
        <sz val="7"/>
        <color indexed="8"/>
        <rFont val="Arial"/>
        <family val="2"/>
        <charset val="186"/>
      </rPr>
      <t xml:space="preserve"> Peļņas rentabilitāte = peļņa / ieņēmumi</t>
    </r>
  </si>
  <si>
    <r>
      <t xml:space="preserve">10) </t>
    </r>
    <r>
      <rPr>
        <sz val="7"/>
        <color indexed="8"/>
        <rFont val="Arial"/>
        <family val="2"/>
        <charset val="186"/>
      </rPr>
      <t>Kapitāla attiecības rādītājs = pašu kapitāls / aktīvi</t>
    </r>
  </si>
  <si>
    <r>
      <t xml:space="preserve">11) </t>
    </r>
    <r>
      <rPr>
        <sz val="7"/>
        <color indexed="8"/>
        <rFont val="Arial"/>
        <family val="2"/>
        <charset val="186"/>
      </rPr>
      <t>Neto aizņēmumi / EBITDA = (neto aizņēmumi pārskata gada sākumā + neto aizņēmumi pārskata gada beigās) * 0.5 / EBITDA (12 mēnešu periodā)</t>
    </r>
  </si>
  <si>
    <r>
      <t xml:space="preserve">12) </t>
    </r>
    <r>
      <rPr>
        <sz val="7"/>
        <color indexed="8"/>
        <rFont val="Arial"/>
        <family val="2"/>
        <charset val="186"/>
      </rPr>
      <t>Neto aizņēmumi / pašu kapitāls = neto aizņēmumi pārskata gada beigās / pašu kapitāls pārskata gada beigās</t>
    </r>
  </si>
  <si>
    <r>
      <rPr>
        <vertAlign val="superscript"/>
        <sz val="7"/>
        <color indexed="8"/>
        <rFont val="Arial"/>
        <family val="2"/>
        <charset val="186"/>
      </rPr>
      <t>13)</t>
    </r>
    <r>
      <rPr>
        <sz val="7"/>
        <color indexed="8"/>
        <rFont val="Arial"/>
        <family val="2"/>
        <charset val="186"/>
      </rPr>
      <t xml:space="preserve">  Vispārējais apgrozāmo līdzekļu koeficients = apgrozāmie līdzekļi / īstermiņa kreditori</t>
    </r>
  </si>
  <si>
    <r>
      <t>14)</t>
    </r>
    <r>
      <rPr>
        <sz val="7"/>
        <color indexed="8"/>
        <rFont val="Arial"/>
        <family val="2"/>
        <charset val="186"/>
      </rPr>
      <t xml:space="preserve"> Aktīvu atdeve (</t>
    </r>
    <r>
      <rPr>
        <i/>
        <sz val="7"/>
        <color indexed="8"/>
        <rFont val="Arial"/>
        <family val="2"/>
        <charset val="186"/>
      </rPr>
      <t>ROA</t>
    </r>
    <r>
      <rPr>
        <sz val="7"/>
        <color indexed="8"/>
        <rFont val="Arial"/>
        <family val="2"/>
        <charset val="186"/>
      </rPr>
      <t>) = peļņa / vidējie aktīvi ((aktīvi pārskata gada sākumā + aktīvi pārskata gada beigās) / 2)</t>
    </r>
  </si>
  <si>
    <r>
      <t>15)</t>
    </r>
    <r>
      <rPr>
        <sz val="7"/>
        <color indexed="8"/>
        <rFont val="Arial"/>
        <family val="2"/>
        <charset val="186"/>
      </rPr>
      <t xml:space="preserve"> Pašu kapitāla atdeve (</t>
    </r>
    <r>
      <rPr>
        <i/>
        <sz val="7"/>
        <color indexed="8"/>
        <rFont val="Arial"/>
        <family val="2"/>
        <charset val="186"/>
      </rPr>
      <t>ROE</t>
    </r>
    <r>
      <rPr>
        <sz val="7"/>
        <color indexed="8"/>
        <rFont val="Arial"/>
        <family val="2"/>
        <charset val="186"/>
      </rPr>
      <t>) = peļņa / vidējais pašu kapitāls ((pašu kapitāls pārskata gada sākumā + pašu kapitāls pārskata gada beigās) / 2)</t>
    </r>
  </si>
  <si>
    <r>
      <t>16)</t>
    </r>
    <r>
      <rPr>
        <sz val="7"/>
        <color indexed="8"/>
        <rFont val="Arial"/>
        <family val="2"/>
        <charset val="186"/>
      </rPr>
      <t xml:space="preserve"> Ieguldītā kapitāla atdeve (</t>
    </r>
    <r>
      <rPr>
        <i/>
        <sz val="7"/>
        <color indexed="8"/>
        <rFont val="Arial"/>
        <family val="2"/>
        <charset val="186"/>
      </rPr>
      <t>ROCE</t>
    </r>
    <r>
      <rPr>
        <sz val="7"/>
        <color indexed="8"/>
        <rFont val="Arial"/>
        <family val="2"/>
        <charset val="186"/>
      </rPr>
      <t>) = saimnieciskās darbības peļņa / (vidējais pašu kapitāls ((pašu kapitāls pārskata gada sākumā + pašu kapitāls pārskata gada beigās) / 2) + aizņēmumu vidējā vērtība ((aizņēmumi pārskata gada sākumā + aizņēmumi pārskata gada beigās) / 2))</t>
    </r>
  </si>
  <si>
    <r>
      <rPr>
        <vertAlign val="superscript"/>
        <sz val="7"/>
        <color indexed="8"/>
        <rFont val="Arial"/>
        <family val="2"/>
        <charset val="186"/>
      </rPr>
      <t>17)</t>
    </r>
    <r>
      <rPr>
        <sz val="7"/>
        <color indexed="8"/>
        <rFont val="Arial"/>
        <family val="2"/>
        <charset val="186"/>
      </rPr>
      <t xml:space="preserve">  Dividenžu izmaksas rādītājs = dividendes / mātessabiedrības peļņa</t>
    </r>
  </si>
  <si>
    <r>
      <t>Dividends</t>
    </r>
    <r>
      <rPr>
        <vertAlign val="superscript"/>
        <sz val="8"/>
        <rFont val="Arial"/>
        <family val="2"/>
        <charset val="186"/>
      </rPr>
      <t>4)</t>
    </r>
  </si>
  <si>
    <r>
      <t>Dividendes</t>
    </r>
    <r>
      <rPr>
        <vertAlign val="superscript"/>
        <sz val="8"/>
        <color indexed="8"/>
        <rFont val="Arial"/>
        <family val="2"/>
        <charset val="186"/>
      </rPr>
      <t>4)</t>
    </r>
  </si>
  <si>
    <r>
      <t>Net debt</t>
    </r>
    <r>
      <rPr>
        <vertAlign val="superscript"/>
        <sz val="8"/>
        <rFont val="Arial"/>
        <family val="2"/>
        <charset val="186"/>
      </rPr>
      <t>5)</t>
    </r>
  </si>
  <si>
    <r>
      <t>Neto aizņēmumi</t>
    </r>
    <r>
      <rPr>
        <vertAlign val="superscript"/>
        <sz val="8"/>
        <color indexed="8"/>
        <rFont val="Arial"/>
        <family val="2"/>
        <charset val="186"/>
      </rPr>
      <t>5)</t>
    </r>
  </si>
  <si>
    <r>
      <t>EBITDA margin</t>
    </r>
    <r>
      <rPr>
        <vertAlign val="superscript"/>
        <sz val="8"/>
        <rFont val="Arial"/>
        <family val="2"/>
        <charset val="186"/>
      </rPr>
      <t>6)</t>
    </r>
  </si>
  <si>
    <r>
      <t>Operating profit margin</t>
    </r>
    <r>
      <rPr>
        <vertAlign val="superscript"/>
        <sz val="8"/>
        <rFont val="Arial"/>
        <family val="2"/>
        <charset val="186"/>
      </rPr>
      <t>7)</t>
    </r>
  </si>
  <si>
    <r>
      <t>Profit before tax margin</t>
    </r>
    <r>
      <rPr>
        <vertAlign val="superscript"/>
        <sz val="8"/>
        <rFont val="Arial"/>
        <family val="2"/>
        <charset val="186"/>
      </rPr>
      <t>8)</t>
    </r>
  </si>
  <si>
    <r>
      <t>Profit margin</t>
    </r>
    <r>
      <rPr>
        <vertAlign val="superscript"/>
        <sz val="8"/>
        <rFont val="Arial"/>
        <family val="2"/>
        <charset val="186"/>
      </rPr>
      <t>9)</t>
    </r>
  </si>
  <si>
    <r>
      <t>Equity–to–asset ratio</t>
    </r>
    <r>
      <rPr>
        <vertAlign val="superscript"/>
        <sz val="8"/>
        <color indexed="8"/>
        <rFont val="Arial"/>
        <family val="2"/>
        <charset val="186"/>
      </rPr>
      <t>10)</t>
    </r>
  </si>
  <si>
    <r>
      <t>EBITDA rentabilitāte</t>
    </r>
    <r>
      <rPr>
        <vertAlign val="superscript"/>
        <sz val="8"/>
        <color indexed="8"/>
        <rFont val="Arial"/>
        <family val="2"/>
        <charset val="186"/>
      </rPr>
      <t>6)</t>
    </r>
  </si>
  <si>
    <r>
      <t>Saimnieciskās darbības peļņas rentabilitāte</t>
    </r>
    <r>
      <rPr>
        <vertAlign val="superscript"/>
        <sz val="8"/>
        <color indexed="8"/>
        <rFont val="Arial"/>
        <family val="2"/>
        <charset val="186"/>
      </rPr>
      <t>7)</t>
    </r>
  </si>
  <si>
    <r>
      <t>Peļņas pirms nodokļiem rentabilitāte</t>
    </r>
    <r>
      <rPr>
        <vertAlign val="superscript"/>
        <sz val="8"/>
        <color indexed="8"/>
        <rFont val="Arial"/>
        <family val="2"/>
        <charset val="186"/>
      </rPr>
      <t>8)</t>
    </r>
  </si>
  <si>
    <r>
      <t>Peļņas rentabilitāte</t>
    </r>
    <r>
      <rPr>
        <vertAlign val="superscript"/>
        <sz val="8"/>
        <color indexed="8"/>
        <rFont val="Arial"/>
        <family val="2"/>
        <charset val="186"/>
      </rPr>
      <t>9)</t>
    </r>
  </si>
  <si>
    <r>
      <t>Kapitāla attiecības rādītājs</t>
    </r>
    <r>
      <rPr>
        <vertAlign val="superscript"/>
        <sz val="8"/>
        <color indexed="8"/>
        <rFont val="Arial"/>
        <family val="2"/>
        <charset val="186"/>
      </rPr>
      <t>10)</t>
    </r>
  </si>
  <si>
    <r>
      <t>Net debt / EBITDA</t>
    </r>
    <r>
      <rPr>
        <vertAlign val="superscript"/>
        <sz val="8"/>
        <rFont val="Arial"/>
        <family val="2"/>
        <charset val="186"/>
      </rPr>
      <t>11)</t>
    </r>
  </si>
  <si>
    <r>
      <t>Net debt / equity</t>
    </r>
    <r>
      <rPr>
        <vertAlign val="superscript"/>
        <sz val="8"/>
        <rFont val="Arial"/>
        <family val="2"/>
        <charset val="186"/>
      </rPr>
      <t>12)</t>
    </r>
  </si>
  <si>
    <r>
      <t>Current ratio</t>
    </r>
    <r>
      <rPr>
        <vertAlign val="superscript"/>
        <sz val="8"/>
        <rFont val="Arial"/>
        <family val="2"/>
        <charset val="186"/>
      </rPr>
      <t>13)</t>
    </r>
  </si>
  <si>
    <r>
      <t>Return on assets (ROA)</t>
    </r>
    <r>
      <rPr>
        <vertAlign val="superscript"/>
        <sz val="8"/>
        <color indexed="8"/>
        <rFont val="Arial"/>
        <family val="2"/>
        <charset val="186"/>
      </rPr>
      <t>14)</t>
    </r>
  </si>
  <si>
    <r>
      <t>Return on equity (ROE)</t>
    </r>
    <r>
      <rPr>
        <vertAlign val="superscript"/>
        <sz val="8"/>
        <rFont val="Arial"/>
        <family val="2"/>
        <charset val="186"/>
      </rPr>
      <t>15)</t>
    </r>
  </si>
  <si>
    <r>
      <t>Return on capital employed (ROCE)</t>
    </r>
    <r>
      <rPr>
        <vertAlign val="superscript"/>
        <sz val="8"/>
        <rFont val="Arial"/>
        <family val="2"/>
        <charset val="186"/>
      </rPr>
      <t>16)</t>
    </r>
  </si>
  <si>
    <r>
      <t>Dividend pay–out ratio</t>
    </r>
    <r>
      <rPr>
        <vertAlign val="superscript"/>
        <sz val="8"/>
        <rFont val="Arial"/>
        <family val="2"/>
        <charset val="186"/>
      </rPr>
      <t>17)</t>
    </r>
  </si>
  <si>
    <r>
      <t>Neto aizņēmumi / EBITDA</t>
    </r>
    <r>
      <rPr>
        <vertAlign val="superscript"/>
        <sz val="8"/>
        <color indexed="8"/>
        <rFont val="Arial"/>
        <family val="2"/>
        <charset val="186"/>
      </rPr>
      <t>11)</t>
    </r>
  </si>
  <si>
    <r>
      <t>Neto aizņēmumi / pašu kapitāls</t>
    </r>
    <r>
      <rPr>
        <vertAlign val="superscript"/>
        <sz val="8"/>
        <color indexed="8"/>
        <rFont val="Arial"/>
        <family val="2"/>
        <charset val="186"/>
      </rPr>
      <t>12)</t>
    </r>
  </si>
  <si>
    <r>
      <t>Vispārējais apgrozāmo līdzekļu koeficients</t>
    </r>
    <r>
      <rPr>
        <vertAlign val="superscript"/>
        <sz val="8"/>
        <color indexed="8"/>
        <rFont val="Arial"/>
        <family val="2"/>
        <charset val="186"/>
      </rPr>
      <t>13)</t>
    </r>
  </si>
  <si>
    <r>
      <t>Aktīvu atdeve (</t>
    </r>
    <r>
      <rPr>
        <i/>
        <sz val="8"/>
        <color indexed="8"/>
        <rFont val="Arial"/>
        <family val="2"/>
        <charset val="186"/>
      </rPr>
      <t>ROA</t>
    </r>
    <r>
      <rPr>
        <sz val="8"/>
        <color indexed="8"/>
        <rFont val="Arial"/>
        <family val="2"/>
        <charset val="186"/>
      </rPr>
      <t>)</t>
    </r>
    <r>
      <rPr>
        <vertAlign val="superscript"/>
        <sz val="8"/>
        <color indexed="8"/>
        <rFont val="Arial"/>
        <family val="2"/>
        <charset val="186"/>
      </rPr>
      <t>14)</t>
    </r>
  </si>
  <si>
    <r>
      <t>Pašu kapitāla atdeve (</t>
    </r>
    <r>
      <rPr>
        <i/>
        <sz val="8"/>
        <color indexed="8"/>
        <rFont val="Arial"/>
        <family val="2"/>
        <charset val="186"/>
      </rPr>
      <t>ROE</t>
    </r>
    <r>
      <rPr>
        <sz val="8"/>
        <color indexed="8"/>
        <rFont val="Arial"/>
        <family val="2"/>
        <charset val="186"/>
      </rPr>
      <t>)</t>
    </r>
    <r>
      <rPr>
        <vertAlign val="superscript"/>
        <sz val="8"/>
        <color indexed="8"/>
        <rFont val="Arial"/>
        <family val="2"/>
        <charset val="186"/>
      </rPr>
      <t>15)</t>
    </r>
  </si>
  <si>
    <r>
      <t>Ieguldītā kapitāla atdeve (</t>
    </r>
    <r>
      <rPr>
        <i/>
        <sz val="8"/>
        <color indexed="8"/>
        <rFont val="Arial"/>
        <family val="2"/>
        <charset val="186"/>
      </rPr>
      <t>ROCE</t>
    </r>
    <r>
      <rPr>
        <sz val="8"/>
        <color indexed="8"/>
        <rFont val="Arial"/>
        <family val="2"/>
        <charset val="186"/>
      </rPr>
      <t>)</t>
    </r>
    <r>
      <rPr>
        <vertAlign val="superscript"/>
        <sz val="8"/>
        <color indexed="8"/>
        <rFont val="Arial"/>
        <family val="2"/>
        <charset val="186"/>
      </rPr>
      <t>16)</t>
    </r>
  </si>
  <si>
    <r>
      <t>Dividenžu izmaksas rādītājs</t>
    </r>
    <r>
      <rPr>
        <vertAlign val="superscript"/>
        <sz val="8"/>
        <color indexed="8"/>
        <rFont val="Arial"/>
        <family val="2"/>
        <charset val="186"/>
      </rPr>
      <t>17)</t>
    </r>
  </si>
  <si>
    <t>25 e,f</t>
  </si>
  <si>
    <t>23 a</t>
  </si>
  <si>
    <t>23 b,c</t>
  </si>
  <si>
    <t>12, 20 a</t>
  </si>
  <si>
    <t>Darījumu kvantificēšana ar šīm saistītajām pusēm nav iespējama plašā Latvenergo koncerna un mātessabiedrības klientu skaita dēļ.</t>
  </si>
  <si>
    <t>Samaksātie procenti saistītajām pusēm (mātessabiedrība)</t>
  </si>
  <si>
    <t>Saņemtie procenti no saistītajām pusēm (mātessabiedrība)</t>
  </si>
  <si>
    <t>Interest paid to related parties (Parent Company)</t>
  </si>
  <si>
    <t>Interest received from related parties (Parent Company)</t>
  </si>
  <si>
    <t>Izmaiņas aizdevumos (mātessabiedrība)</t>
  </si>
  <si>
    <t>Movement in loans (Parent Company)</t>
  </si>
  <si>
    <t>Non–current and current loans to related parties (Parent Company)</t>
  </si>
  <si>
    <t>Ilgtermiņa un īstermiņa aizdevumi saistītajām pusēm (mātessabiedrība)</t>
  </si>
  <si>
    <t>Ilgtermiņa aizdevuma AS „Sadales tīkls” sadalījums pēc atmaksas termiņiem (mātessabiedrība)</t>
  </si>
  <si>
    <t>Non–current loans to Sadales tīkls AS by maturity (Parent Company)</t>
  </si>
  <si>
    <t>Concluded non–current borrowing agreements with Sadales tīkls AS (Parent Company)</t>
  </si>
  <si>
    <t>Ar AS „Sadales tīkls” noslēgtie ilgtermiņa aizdevuma līgumi (mātessabiedrība)</t>
  </si>
  <si>
    <t>KOPĀ / TOTAL</t>
  </si>
  <si>
    <t>Non–current loans to Latvijas elektriskie tīkli AS by maturity (Parent Company)</t>
  </si>
  <si>
    <t>Ilgtermiņa aizdevuma AS „Latvijas elektriskie tīkli” sadalījums pēc atmaksas termiņiem (mātessabiedrība)</t>
  </si>
  <si>
    <t>Concluded non–current borrowing agreements with Latvijas elektriskie tīkli AS (Parent Company)</t>
  </si>
  <si>
    <t>Ar AS „Latvijas elektriskie tīkli” noslēgtie ilgtermiņa aizdevuma līgumi (mātessabiedrība)</t>
  </si>
  <si>
    <t>6 mēnešu EURIBOR + pievienotā likme</t>
  </si>
  <si>
    <t>e) ilgtermiņa aizdevumi saistītajām pusēm (mātessabiedrība)</t>
  </si>
  <si>
    <t>e) Non–current loans to related parties (Parent Company)</t>
  </si>
  <si>
    <t>a) Income and expenses from transactions with subsidiaries (Parent Company)</t>
  </si>
  <si>
    <t>a) ieņēmumi un izmaksas no darījumiem ar saistītajām pusēm (mātessabiedrība)</t>
  </si>
  <si>
    <t xml:space="preserve"> – meitassabiedrības (16. pielikums)*</t>
  </si>
  <si>
    <t xml:space="preserve"> –  Subsidiaries (Note 16)*</t>
  </si>
  <si>
    <t xml:space="preserve"> – meitassabiedrības (17. a pielikums)</t>
  </si>
  <si>
    <t xml:space="preserve"> – Subsidiaries (Note 17 a)</t>
  </si>
  <si>
    <r>
      <t xml:space="preserve">* avansa maksājums meitassabiedrībai </t>
    </r>
    <r>
      <rPr>
        <i/>
        <sz val="8"/>
        <color theme="1"/>
        <rFont val="Arial"/>
        <family val="2"/>
        <charset val="186"/>
      </rPr>
      <t>Elektrum Eesti OÜ</t>
    </r>
  </si>
  <si>
    <t>b) Balances at the end of the year arising from sales/purchases of goods and services:</t>
  </si>
  <si>
    <t>b) gada beigu bilances atlikumi, kas ir radušies no pārdotām / iepirktām precēm un sniegtajiem / saņemtajiem pakalpojumiem:</t>
  </si>
  <si>
    <t>Receivables from related parties:</t>
  </si>
  <si>
    <t>Payables to related parties:</t>
  </si>
  <si>
    <t xml:space="preserve"> – For goods sold / services received from subsidiaries (Note 17 a)</t>
  </si>
  <si>
    <t xml:space="preserve"> – For interest received from subsidiaries (Note 17 a)</t>
  </si>
  <si>
    <t xml:space="preserve"> – par pārdotajām precēm un sniegtajiem pakalpojumiem (17. a pielikums)</t>
  </si>
  <si>
    <t xml:space="preserve"> – par aizdevuma procentu ieņēmumiem (17. a pielikums)</t>
  </si>
  <si>
    <t>KOPĀ īstermiņa pārējie kreditori un nākamo periodu ieņēmumi</t>
  </si>
  <si>
    <t>TOTAL current liabilities and deferred income</t>
  </si>
  <si>
    <t>OTHER LIABILITIES AND DEFERRED INCOME</t>
  </si>
  <si>
    <t>TRADE AND OTHER PAYABLES</t>
  </si>
  <si>
    <t>Saņemtie ieņēmumi no dotācijas par TEC uzstādīto elektrisko jaudu</t>
  </si>
  <si>
    <t>Received income from grant for the installed electrical capacity of CHPPs</t>
  </si>
  <si>
    <t>(Gains) / losses as a result of changes in actuarial assumptions less of deferred income tax</t>
  </si>
  <si>
    <t>(Ieņēmumi) / zaudējumi aktuāra pieņēmumu izmaiņu rezultātā bez atliktā uzņēmumu ienākuma nodokļa</t>
  </si>
  <si>
    <t>(Norakstīts) / iekļauts visaptverošo ienākumu pārskatā bez atliktā uzņēmumu ienākuma nodokļa</t>
  </si>
  <si>
    <t>Atliktais uzņēmumu ienākuma nodoklis no pēcnodarbinātības pabalstu novērtējuma (12. pielikums)</t>
  </si>
  <si>
    <t>(Credited) / charged to the Statement of Comprehensive Income less of deferred income tax</t>
  </si>
  <si>
    <t>Deferred income tax on re–measurement on defined post–employment benefit plan (Note 12)</t>
  </si>
  <si>
    <t>b) Termination benefits</t>
  </si>
  <si>
    <t>Darba attiecību vidējais ilgums</t>
  </si>
  <si>
    <t>Average employee lenght of service</t>
  </si>
  <si>
    <t>Saistību patiesās vērtības novērtēšanas hierarhijas kvantitatīvie rādītāji pārskata gada beigās</t>
  </si>
  <si>
    <t>Quantitative disclosures of fair value measurement hierarchy for liabilities at the end of the year</t>
  </si>
  <si>
    <t>Aktīvu patiesās vērtības novērtēšanas hierarhijas kvantitatīvie rādītāji pārskata gada beigās</t>
  </si>
  <si>
    <t>Quantitative disclosures of fair value measurement hierarchy for assets at the end of the year</t>
  </si>
  <si>
    <t>LATVENERGO KONCERNA KONSOLIDĒTIE un</t>
  </si>
  <si>
    <t>AS „LATVENERGO” 2017. GADA FINANŠU PĀRSKATI</t>
  </si>
  <si>
    <t>LATVENERGO GROUP CONSOLIDATED and</t>
  </si>
  <si>
    <t>LATVENERGO AS FINANCIAL STATEMENTS 2017</t>
  </si>
  <si>
    <t>Held‒to‒maturity assets</t>
  </si>
  <si>
    <t>* izņemot saņemtos avansus, nākamo periodu ieņēmumus, nodokļu saistības un pārējās ilgtermiņa un īstermiņa nefinanšu saistības</t>
  </si>
  <si>
    <t>* excluding advances received, deferred income, tax related liabilities and other non-current or current non-financial payables</t>
  </si>
  <si>
    <t>Ilgtermiņa aizņēmumu no kredītiestādēm īstermiņa daļa</t>
  </si>
  <si>
    <t>Izmaiņas aizņēmumos</t>
  </si>
  <si>
    <t>Movement in borrowings</t>
  </si>
  <si>
    <t>Current portion of non–current borrowings from financial institutions</t>
  </si>
  <si>
    <t>Aizņēmumu sadalījums pēc aizdevēju kategorijām</t>
  </si>
  <si>
    <t>Borrowings by categories of lenders</t>
  </si>
  <si>
    <t>Borrowings by maturity (excluding the effect of derivative financial instruments)</t>
  </si>
  <si>
    <t>Aizņēmumu sadalījums pēc atmaksas termiņiem bez atvasināto finanšu instrumentu efekta</t>
  </si>
  <si>
    <t>Aizņēmumu sadalījums pēc procentu likmes maiņas un pārcenošanas termiņa (ņemot vērā atvasināto finanšu instrumentu efektu)</t>
  </si>
  <si>
    <t>Borrowings by pricing period (considering the effect of derivative financial instruments)</t>
  </si>
  <si>
    <t>Included in the Statement of Comprehensive Income</t>
  </si>
  <si>
    <t>Iekļauts visaptverošajos ieņēmumos</t>
  </si>
  <si>
    <t>Riska ierobežošanas darījumu izpildes rezultātā atzītie (ieņēmumi) / zaudējumi no patiesās vērtības izmaiņām</t>
  </si>
  <si>
    <t>(Gains) / losses on fair value changes as a result of realised hedge agreements</t>
  </si>
  <si>
    <t>Fair value changes of interest rate swaps</t>
  </si>
  <si>
    <t>Procentu likmju mijmaiņas darījumu patieso vērtību izmaiņas</t>
  </si>
  <si>
    <t>Iekļauts peļņas vai zaudējumu aprēķinā, neto (11. a pielikums)</t>
  </si>
  <si>
    <t>Iekļauts visaptverošajos ieņēmumos (20. a pielikums)</t>
  </si>
  <si>
    <t>Included in the Statement of Profit or Loss, net (Note 11 a)</t>
  </si>
  <si>
    <t>Elektroenerģijas cenu nākotnes darījumu patieso vērtību izmaiņas</t>
  </si>
  <si>
    <t>Fair value changes of electricity forward and future contracts</t>
  </si>
  <si>
    <r>
      <t>17.</t>
    </r>
    <r>
      <rPr>
        <b/>
        <sz val="12"/>
        <color rgb="FF054F95"/>
        <rFont val="Times New Roman"/>
        <family val="1"/>
        <charset val="186"/>
      </rPr>
      <t xml:space="preserve"> </t>
    </r>
    <r>
      <rPr>
        <b/>
        <sz val="12"/>
        <color rgb="FF054F95"/>
        <rFont val="Arial"/>
        <family val="2"/>
        <charset val="186"/>
      </rPr>
      <t>PARĀDI NO LĪGUMIEM AR KLIENTIEM UN CITI DEBITORI</t>
    </r>
  </si>
  <si>
    <t>RECEIVABLES FROM CONTRACTS WITH CUSTOMERS AND OTHER RECEIVABLES</t>
  </si>
  <si>
    <t>– citi parādi no līgumiem ar klientiem</t>
  </si>
  <si>
    <t>– Other receivables from contracts with customers</t>
  </si>
  <si>
    <t>Uzkrājumi parādu no līgumiem ar klientiem vērtības samazinājumam:</t>
  </si>
  <si>
    <t>Heating and other receivables from contracts with customers:</t>
  </si>
  <si>
    <t>Siltumenerģijas un citi debitori no līgumiem ar klientiem:</t>
  </si>
  <si>
    <t>Uzkrājumi siltumenerģijas un citu debitoru parādu no līgumiem ar klientiem vērtības samazinājumam:</t>
  </si>
  <si>
    <t>Provisions for impaired heating and other receivables from contracts with customers:</t>
  </si>
  <si>
    <t>Heating and other receivables from contracts with customers, net</t>
  </si>
  <si>
    <t>Neto siltumenerģijas un citi debitori no līgumiem ar klientiem:</t>
  </si>
  <si>
    <t>Uzkrājumu kustība parādu no līgumiem ar klientiem vērtības samazinājumam</t>
  </si>
  <si>
    <t>Movements in provisions for impaired receivables from contracts with customers</t>
  </si>
  <si>
    <t>Credit quality of receivables from contracts with customers</t>
  </si>
  <si>
    <t>Parādu no līgumiem ar klientiem kredītkvalitātes vērtējums</t>
  </si>
  <si>
    <t>Saņemamās garantētās maksas par koģenerācijas elektrostacijās TEC-1 un TEC-2 uzstādīto elektrisko jaudu**</t>
  </si>
  <si>
    <t>Īstermiņa finanšu debitori:</t>
  </si>
  <si>
    <t>KOPĀ īstermiņa finanšu debitori</t>
  </si>
  <si>
    <t>KOPĀ citi debitori</t>
  </si>
  <si>
    <t>Receivable of guaranteed fee for the installed electrical capacity of cogeneration power plants CHPP-1 and CHPP-2**</t>
  </si>
  <si>
    <t>Total current financial receivables</t>
  </si>
  <si>
    <t>CASH AND CASH EQUIVALENTS</t>
  </si>
  <si>
    <t>Fair values and fair value measurement</t>
  </si>
  <si>
    <t>* Restricted cash and cash equivalents as of 31 December 2017 consist of the financial security for participating in NASDAQ OMX Commodities Exchange. Financial security is fully recoverable after termination of participation without any penalties, therefore restricted cash is considered as cash equivalent</t>
  </si>
  <si>
    <r>
      <t xml:space="preserve">* 2017. gada 31. decembrī naudas līdzekļi ar ierobežojumiem ir finanšu nodrošinājums dalībai </t>
    </r>
    <r>
      <rPr>
        <i/>
        <sz val="8"/>
        <color indexed="8"/>
        <rFont val="Arial"/>
        <family val="2"/>
        <charset val="186"/>
      </rPr>
      <t>NASDAQ OMX Commodities</t>
    </r>
    <r>
      <rPr>
        <sz val="8"/>
        <color indexed="8"/>
        <rFont val="Arial"/>
        <family val="2"/>
        <charset val="186"/>
      </rPr>
      <t xml:space="preserve"> biržā. Finanšu nodrošinājums ir pilnībā atgūstams pēc dalības izbeigšanas, nemaksājot soda naudas, tādējādi šie naudas līdzekļi ar ierobežojumiem ir uzskatāmi par naudas ekvivalentiem</t>
    </r>
  </si>
  <si>
    <t>Pašu kapitāla rezervēs (20.a pielikums)</t>
  </si>
  <si>
    <t>In reserves (Note 20 a)</t>
  </si>
  <si>
    <t>*  deferred tax liabilities for the year 2017 are reversed from the Statement of Profit or Loss and from reserves, as they have initally been recorded in reserves pursuant to amendments made to the tax legislation of the Republic of Latvia, which entered into force on 1 January 2018</t>
  </si>
  <si>
    <t xml:space="preserve">
Actual corporate income tax charge for the reporting year, if compared with theoretical calculations:         
</t>
  </si>
  <si>
    <t xml:space="preserve">Efektīvā ienākuma nodokļu likme </t>
  </si>
  <si>
    <t xml:space="preserve">Effective income tax rate  </t>
  </si>
  <si>
    <r>
      <t>b) CO</t>
    </r>
    <r>
      <rPr>
        <b/>
        <vertAlign val="subscript"/>
        <sz val="10"/>
        <color indexed="30"/>
        <rFont val="Arial"/>
        <family val="2"/>
        <charset val="186"/>
      </rPr>
      <t>2</t>
    </r>
    <r>
      <rPr>
        <b/>
        <sz val="10"/>
        <color indexed="30"/>
        <rFont val="Arial"/>
        <family val="2"/>
        <charset val="186"/>
      </rPr>
      <t xml:space="preserve"> emisijas kvotas</t>
    </r>
  </si>
  <si>
    <t xml:space="preserve">Pārvērtēšanas rezultātā radies 
vērtības pieaugums / (samazinājums)  (20. a pielikums)
</t>
  </si>
  <si>
    <t>Increase/(decrease) due PPE revaluation (Note 20 a)</t>
  </si>
  <si>
    <t xml:space="preserve">* 2016. gada decembrī, pamatojoties uz 2016. gada 22. novembra Latvijas Republikas Ministru kabineta rīkojumu Nr. 693 „Par valsts nekustamo īpašumu ieguldīšanu akciju sabiedrības „Latvenergo” pamatkapitālā”, tika veikts mantisks ieguldījums AS „Latvenergo” akciju kapitālā ar nekustamo īpašumu 184 tūkstošu EUR apmērā </t>
  </si>
  <si>
    <t xml:space="preserve">* in December 2016, in accordance with the Directive No. 693 of the Cabinet of Ministers of the Republic of Latvia, dated 22 November 2016 – “On the Investment of the State’s property units in the Share Capital of Latvenergo AS”, real estate in the amount of EUR 184 thousand was invested in the share capital of Latvenergo AS </t>
  </si>
  <si>
    <t>* pārvērtēto pamatlīdzekļu grupas skatīt 2.8. pielikumā</t>
  </si>
  <si>
    <t>*  for revalued property, plant and equipment groups see Note 2.8.</t>
  </si>
  <si>
    <t>Nomas maksas ieņēmumi (koncerns un mātessabiedrība ir iznomātājs) (6. pielikums)</t>
  </si>
  <si>
    <t>Rental income (the Group and the Parent Company is the lessor) (Note 6)</t>
  </si>
  <si>
    <t>Līdzdalības daļas meitassabiedrībās un pārējie ilgtermiņa finanšu ieguldījumi:</t>
  </si>
  <si>
    <t>Participating interest in subsidiaries and other non–current financial investments:</t>
  </si>
  <si>
    <t xml:space="preserve">AS „Enerģijas publiskais tirgotājs" </t>
  </si>
  <si>
    <t>Koncernam pieder 48,15 % no AS „Pirmais Slēgtais Pensiju Fonds” kapitāla daļām (AS “Latvenergo” - 46,30 %). Tomēr koncerns un mātessabiedrība ir tikai nominālais akcionārs, jo visus riskus vai labumus, kas rodas sabiedrības darbības rezultātā, uzņemas vai iegūst darbinieki – pensiju fonda dalībnieki. Šā iemesla dēļ ieguldījums AS „Pirmais Slēgtais Pensiju Fonds” ir novērtēts iegādes vērtībā.</t>
  </si>
  <si>
    <t>The Group owns 48.15% of the shares of the closed pension fund Pirmais Slēgtais Pensiju Fonds AS (Latvenergo AS – 46.30%). However, the Group and the Parent Company is only a nominal shareholder as all risks and benefits arising from associate’s activities will accrue to the employees who are members of the pension fund. Therefore, investment in Pirmais Slēgtais Pensiju Fonds AS is valued at cost.</t>
  </si>
  <si>
    <t>a) Investments in subsidiaries (Parent Company)</t>
  </si>
  <si>
    <t>AS „Latvijas elektriskie tīkli” *</t>
  </si>
  <si>
    <t>Latvijas elektriskie tīkli AS *</t>
  </si>
  <si>
    <t>AS „Sadales tīkls” *</t>
  </si>
  <si>
    <t>Sadales tīkls AS *</t>
  </si>
  <si>
    <r>
      <t>*</t>
    </r>
    <r>
      <rPr>
        <sz val="12"/>
        <color theme="1"/>
        <rFont val="Times New Roman"/>
        <family val="1"/>
        <charset val="186"/>
      </rPr>
      <t xml:space="preserve"> </t>
    </r>
    <r>
      <rPr>
        <i/>
        <sz val="9"/>
        <color rgb="FF000000"/>
        <rFont val="Arial"/>
        <family val="2"/>
        <charset val="186"/>
      </rPr>
      <t>koriģēti atbilstoši piemērotajiem SFPS, pēc SFPS pirmreizējās piemērošanas</t>
    </r>
  </si>
  <si>
    <t>* re-measured according to applied IFRS after first time adoption of IFRS</t>
  </si>
  <si>
    <r>
      <t>b)</t>
    </r>
    <r>
      <rPr>
        <b/>
        <sz val="7"/>
        <color rgb="FF054F95"/>
        <rFont val="Times New Roman"/>
        <family val="1"/>
        <charset val="186"/>
      </rPr>
      <t xml:space="preserve">   </t>
    </r>
    <r>
      <rPr>
        <b/>
        <sz val="9"/>
        <color rgb="FF054F95"/>
        <rFont val="Arial"/>
        <family val="2"/>
        <charset val="186"/>
      </rPr>
      <t>Other non–current financial investments</t>
    </r>
  </si>
  <si>
    <t>Dabasgāze*</t>
  </si>
  <si>
    <t>Natural gas*</t>
  </si>
  <si>
    <r>
      <t>*</t>
    </r>
    <r>
      <rPr>
        <sz val="8"/>
        <color theme="1"/>
        <rFont val="Arial"/>
        <family val="2"/>
        <charset val="186"/>
      </rPr>
      <t>2017. gada 3. aprīlī atbilstoši Enerģētikas likumam Latvijā tika atvērts dabasgāzes tirgus, iepirktie dabasgāzes krājumi paredzēti elektroenerģijas un siltumenerģijas ražošanai, kā arī pārdošanai klientiem.</t>
    </r>
  </si>
  <si>
    <t>*On 3 April 2017, according to Energy Law, the natural gas market in Latvia was opened, inventories of purchased natural gas are used for production of electricity and heat, as well for trade to customers.</t>
  </si>
  <si>
    <t>Movement on the allowance for raw materials, spare parts and technological fuel</t>
  </si>
  <si>
    <t>OPERATING SEGMENT INFORMATION</t>
  </si>
  <si>
    <t>TOTAL Group</t>
  </si>
  <si>
    <t>TOTAL Parent Company</t>
  </si>
  <si>
    <t>KOPĀ mātessabie-drība</t>
  </si>
  <si>
    <t>25 f</t>
  </si>
  <si>
    <t>Bruto summas, kas nodotas klientiem, piemērojot aģenta uzskaites principu (skatīt 4. d pielikumu), atzīti neto summā enerģijas pārdošanas un ar to saistītajos pakalpojumos.</t>
  </si>
  <si>
    <t>Pārējo aktīvu noma (14. e pielikums)</t>
  </si>
  <si>
    <t>Lease of other assets (Note 14 e)</t>
  </si>
  <si>
    <t>Ilgtermiņa nākamo periodu ieņēmumi no pieslēgumu maksas līgumiem ar klientiem (23. I. a pielikums)</t>
  </si>
  <si>
    <t>Īstermiņa nākamo periodu ieņēmumi no pieslēgumu maksas līgumiem ar klientiem (23. II. a pielikums)</t>
  </si>
  <si>
    <t>Līgumu saistības – nākamo periodu ieņēmumi no efektīvās atļautās slodzes izmatošanas (sadales pakalpojums)</t>
  </si>
  <si>
    <t>Non–current contract liabilities on deferred income from connection fees  (Note 23 I, a)</t>
  </si>
  <si>
    <t>Current contract liabilities on deferred income from connection fees  (Note 23 II, a)</t>
  </si>
  <si>
    <t>Nākamo periodu ieņēmumu no pieslēguma maksas kustība – līgumu saistības koncernam no līgumiem ar klientiem (ilgtermiņa un īstermiņa daļa):</t>
  </si>
  <si>
    <t>Movement in deferred connection fees – contract liability from contracts with customers for the Group (non–current and current part):</t>
  </si>
  <si>
    <t>2017. gadā līgumu saistības sadales sistēmas pakalpojuma nākamo periodu ieņēmumiem ir pieaugušas par 243 tūkstošiem EUR, jo sagaidāms, ka klienti, kas kvalificējušies 0.5 sadales sistēmas pakalpojuma tarifam no efektīvas slodzes izmantošanas, sasniegs noteikto patēriņu nākamajā finanšu gadā, un ir iekļauta peļņas vai zaudējumu aprēķinā kā sadales sistēmas pakalpojumu ieņēmumu samazinājums (skatīt 2.29. pielikumu).</t>
  </si>
  <si>
    <t>Koncerns 2017. gadā ir atzinis sadales sistēmas pakalpojuma ieņēmumus no līguma saistībām gada sākumā 10 tūkstošu EUR apmērā (kumulatīvais efekts ieviešot standartu).</t>
  </si>
  <si>
    <t>Vienreizēja kompensācija no valsts par garantēto atbalstu par TEC uzstādīto elektrisko jaudu</t>
  </si>
  <si>
    <t>One–off compensation from the state on state support for the installed capacity of CHPPs</t>
  </si>
  <si>
    <t>Mātessabiedrība /Parent Company</t>
  </si>
  <si>
    <t>Mātessabiedrība/ Parent Company</t>
  </si>
  <si>
    <t>Mātessabiedrība / Parent Company</t>
  </si>
  <si>
    <t>* Koncerna vadības atlīdzība iekļauj koncerna sabiedrību valdes locekļu, mātessabiedrības padomes un uzraudzības institūcijas (Revīzijas komitejas) atlīdzību. Mātessabiedrības vadības atlīdzība iekļauj mātessabiedrības valdes un padomes locekļu un uzraudzības institūcijas (Revīzijas komitejas) atlīdzību.</t>
  </si>
  <si>
    <t>* Remuneration to the Group’s management includes remuneration to the members of the Management Boards of the Group entities, the Supervisory Board and the Supervisory body (Audit Committee) of the Parent Company. Remuneration to the Company’s management includes remuneration to the members of the Company’s Management Board, the Supervisory Board and the Supervisory body (Audit Committee).</t>
  </si>
  <si>
    <t>Revīzijas izmaksas**</t>
  </si>
  <si>
    <t>Audit fee**</t>
  </si>
  <si>
    <t xml:space="preserve">* subsidised energy tax according to the “Subsidised energy tax Law” has been introduced for a four–year period as of 1 January 2014 and applies to state support for generators of subsidised electricity (Note 2.17.) </t>
  </si>
  <si>
    <t>** revīzijas izmaksas veido koncerna sabiedrību finanšu pārskatu revīzijas izmakas 85 tūkstošu EUR apmērā; mātessabiedrībai – 30 tūkstošu EUR apmērā (2016: 80 tūkstošu EUR apmērā; mātessabiedrībai – 32 tūkstošu EUR apmērā) un koncerna ilgtspējas pārskata un finanšu kovenanšu pārbaudes izmaksas – 8 tūkstošu EUR (2016: 9 tūkstošu EUR)</t>
  </si>
  <si>
    <t>** audit fee consists from audit of the Group's entities financial statements in the amount of EUR 85 thousand; Parent Company - EUR 30 thousand (2016: EUR 80 thousand; Parent Company - EUR 32 thousand)) and audit of The Group's Sustainability report and financial covenants - EUR 8 thousand (2016: EUR 9 thousand)</t>
  </si>
  <si>
    <t>Procentu ieņēmumi no aizdevumiem meitassabiedrībām</t>
  </si>
  <si>
    <t>Current income tax</t>
  </si>
  <si>
    <t>149 106*</t>
  </si>
  <si>
    <t>10 082*</t>
  </si>
  <si>
    <t xml:space="preserve">* Atliktā nodokļa saistības reversētas 2017. gada peļņas vai zaudējumu aprēķinā saskaņā ar Latvijas Republikas nodokļu normatīvo aktu izmaiņām, kas stājās spēkā, sākot ar 2018. gada 1. janvāri </t>
  </si>
  <si>
    <t>* In 2017 deferred tax liabilities reversed in the Statement of Profit or Loss in accordance with the changes of tax regulations and laws of the Republic of Latvia starting from 1 January 2018</t>
  </si>
  <si>
    <t>Atliktā nodokļa izmaiņas</t>
  </si>
  <si>
    <t>Kopā pārskata gadā atzītie visaptverošie ienākumi</t>
  </si>
  <si>
    <t>Kopā visaptverošie ienākumi pārskata gadā, atskaitot nodokļus</t>
  </si>
  <si>
    <t>Neto visaptverošie ienākumi, kas nav jāparklasificē uz peļņu vai zaudējumiem nākamajos periodos</t>
  </si>
  <si>
    <t>Visaptverošie ienākumi / (zaudējumi), kas nav jāpārklasificē uz pelņu vai zaudējumiem nākamajos periodos (atskaitot nodokļus):</t>
  </si>
  <si>
    <t>Neto visaptverošie ienākumi, kas pārklasificējami uz pelņu vai zaudējumiem nākamajos periodos</t>
  </si>
  <si>
    <t>Visaptverošie ienākumi, kas pārklasificējami uz pelņu vai zaudējumiem nākamajos periodos (atskaitot nodokļus):</t>
  </si>
  <si>
    <t>Visaptverošo ienākumu pārskats</t>
  </si>
  <si>
    <t>Deferred income on contracts with customers</t>
  </si>
  <si>
    <t>Atspoguļotā informācija</t>
  </si>
  <si>
    <t>Nepiemērojot SFPS Nr.15</t>
  </si>
  <si>
    <t>Izmaiņu ietekme (lielāka/(zemāka))</t>
  </si>
  <si>
    <t xml:space="preserve"> ‒ zaudējumi / (peļņa) no finanšu instrumentu patiesās vērtības izmaiņām</t>
  </si>
  <si>
    <t>Parādu no līgumiem ar klientiem un citu debitoru pieaugums</t>
  </si>
  <si>
    <t>Increase in receivables from contracts with customers and other receivables</t>
  </si>
  <si>
    <t>Increase / (decrease) in trade and other liabilities</t>
  </si>
  <si>
    <t xml:space="preserve">Proceeds on borrowings </t>
  </si>
  <si>
    <t>Deferred income on contracts from customers</t>
  </si>
  <si>
    <t>PASĪVI</t>
  </si>
  <si>
    <t>Attiecināms uz Mātessabiedrības akcionāru</t>
  </si>
  <si>
    <t>Non‒control-ling interests</t>
  </si>
  <si>
    <t>Kopā pašu kapitālā atzītās iemaksas un peļņas sadale</t>
  </si>
  <si>
    <t>Visaptverošie ienākumi / (zaudējumi)</t>
  </si>
  <si>
    <t>Visaptverošie ienākumi</t>
  </si>
  <si>
    <t>KOPĀ pašu kapitālā atzītās iemaksas un peļņas sadale</t>
  </si>
  <si>
    <t>KOPĀ pārskata gadā atzītie visaptverošie ienākumi</t>
  </si>
  <si>
    <t>Disposal of non–current assets revaluation reserve net of deferred income tax</t>
  </si>
  <si>
    <t>Other comprehensive income / (loss)</t>
  </si>
  <si>
    <t>Other comprehensive income</t>
  </si>
  <si>
    <t>RAW MATERIALS AND CONSUMABLES USED</t>
  </si>
  <si>
    <t>PERSONNEL EXPENSES</t>
  </si>
  <si>
    <t>OTHER OPERATING EXPENSES</t>
  </si>
  <si>
    <t>FINANCE INCOME AND COSTS</t>
  </si>
  <si>
    <t>OTHER INCOME</t>
  </si>
  <si>
    <t>Changes in accounting policies</t>
  </si>
  <si>
    <t>CURRENT AND DEFERRED INCOME TAX</t>
  </si>
  <si>
    <t>INTANGIBLE ASSETS</t>
  </si>
  <si>
    <t>NON-CURRENT FINANCIAL INVESTMENTS</t>
  </si>
  <si>
    <t>INVENTORIES</t>
  </si>
  <si>
    <t>LATVENERGO KONCERNA un AS „LATVENERGO”</t>
  </si>
  <si>
    <t>LATVENERGO GROUP and LATVENERGO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</si>
</sst>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_ ;[Red]\-#,##0\ "/>
    <numFmt numFmtId="166" formatCode="0.0%"/>
    <numFmt numFmtId="167" formatCode="#,##0.000;\(#,##0.000\)"/>
    <numFmt numFmtId="168" formatCode="#,##0.0;\(#,##0.0\)"/>
    <numFmt numFmtId="169" formatCode="#,##0.00;\(#,##0.00\)"/>
    <numFmt numFmtId="170" formatCode="_–* #,##0.00_–;\-* #,##0.00_–;_–* &quot;–&quot;??_-;_-@_-"/>
    <numFmt numFmtId="171" formatCode="_–* #,##0_–;\-* #,##0_–;_–* &quot;–&quot;??_-;_-@_-"/>
    <numFmt numFmtId="172" formatCode="#,##0.00;\(#,##0\)"/>
    <numFmt numFmtId="173" formatCode="#,##0.0;\(#,##0\)"/>
  </numFmts>
  <fonts count="126" x14ac:knownFonts="1">
    <font>
      <sz val="11"/>
      <color theme="1"/>
      <name val="Calibri"/>
      <family val="2"/>
      <charset val="186"/>
      <scheme val="minor"/>
    </font>
    <font>
      <b/>
      <sz val="8"/>
      <color indexed="8"/>
      <name val="Arial"/>
      <family val="2"/>
      <charset val="186"/>
    </font>
    <font>
      <sz val="8"/>
      <color indexed="8"/>
      <name val="Arial"/>
      <family val="2"/>
      <charset val="186"/>
    </font>
    <font>
      <i/>
      <sz val="8"/>
      <color indexed="8"/>
      <name val="Arial"/>
      <family val="2"/>
      <charset val="186"/>
    </font>
    <font>
      <b/>
      <sz val="8"/>
      <name val="Arial"/>
      <family val="2"/>
      <charset val="186"/>
    </font>
    <font>
      <sz val="8"/>
      <name val="Arial"/>
      <family val="2"/>
      <charset val="186"/>
    </font>
    <font>
      <b/>
      <sz val="9"/>
      <color indexed="8"/>
      <name val="Arial"/>
      <family val="2"/>
      <charset val="186"/>
    </font>
    <font>
      <sz val="7"/>
      <color indexed="8"/>
      <name val="Arial"/>
      <family val="2"/>
      <charset val="186"/>
    </font>
    <font>
      <sz val="7"/>
      <name val="Times New Roman"/>
      <family val="1"/>
      <charset val="186"/>
    </font>
    <font>
      <i/>
      <sz val="9"/>
      <name val="Arial"/>
      <family val="2"/>
      <charset val="186"/>
    </font>
    <font>
      <b/>
      <sz val="9"/>
      <name val="Arial"/>
      <family val="2"/>
      <charset val="186"/>
    </font>
    <font>
      <b/>
      <sz val="10"/>
      <name val="Arial"/>
      <family val="2"/>
      <charset val="186"/>
    </font>
    <font>
      <vertAlign val="superscript"/>
      <sz val="8"/>
      <color indexed="8"/>
      <name val="Arial"/>
      <family val="2"/>
      <charset val="186"/>
    </font>
    <font>
      <vertAlign val="superscript"/>
      <sz val="8"/>
      <name val="Arial"/>
      <family val="2"/>
      <charset val="186"/>
    </font>
    <font>
      <sz val="10"/>
      <name val="Arial"/>
      <family val="2"/>
      <charset val="186"/>
    </font>
    <font>
      <vertAlign val="superscript"/>
      <sz val="7"/>
      <color indexed="8"/>
      <name val="Arial"/>
      <family val="2"/>
      <charset val="186"/>
    </font>
    <font>
      <i/>
      <sz val="7"/>
      <color indexed="8"/>
      <name val="Arial"/>
      <family val="2"/>
      <charset val="186"/>
    </font>
    <font>
      <i/>
      <sz val="8"/>
      <name val="Arial"/>
      <family val="2"/>
      <charset val="186"/>
    </font>
    <font>
      <b/>
      <sz val="12"/>
      <name val="Arial"/>
      <family val="2"/>
      <charset val="186"/>
    </font>
    <font>
      <b/>
      <i/>
      <u/>
      <sz val="8"/>
      <name val="Arial"/>
      <family val="2"/>
      <charset val="186"/>
    </font>
    <font>
      <b/>
      <sz val="11"/>
      <color theme="1"/>
      <name val="Calibri"/>
      <family val="2"/>
      <charset val="186"/>
      <scheme val="minor"/>
    </font>
    <font>
      <b/>
      <sz val="8"/>
      <color theme="1"/>
      <name val="Arial"/>
      <family val="2"/>
      <charset val="186"/>
    </font>
    <font>
      <b/>
      <sz val="14"/>
      <color rgb="FF054F95"/>
      <name val="Arial"/>
      <family val="2"/>
      <charset val="186"/>
    </font>
    <font>
      <sz val="10"/>
      <color rgb="FF000000"/>
      <name val="Arial"/>
      <family val="2"/>
      <charset val="186"/>
    </font>
    <font>
      <b/>
      <sz val="8"/>
      <color rgb="FF000000"/>
      <name val="Arial"/>
      <family val="2"/>
      <charset val="186"/>
    </font>
    <font>
      <b/>
      <sz val="10"/>
      <color rgb="FF000000"/>
      <name val="Arial"/>
      <family val="2"/>
      <charset val="186"/>
    </font>
    <font>
      <b/>
      <sz val="10"/>
      <color rgb="FF054F95"/>
      <name val="Arial"/>
      <family val="2"/>
      <charset val="186"/>
    </font>
    <font>
      <b/>
      <sz val="9"/>
      <color rgb="FF054F95"/>
      <name val="Arial"/>
      <family val="2"/>
      <charset val="186"/>
    </font>
    <font>
      <b/>
      <i/>
      <sz val="10"/>
      <color rgb="FF054F95"/>
      <name val="Arial"/>
      <family val="2"/>
      <charset val="186"/>
    </font>
    <font>
      <b/>
      <sz val="11"/>
      <color rgb="FF054F95"/>
      <name val="Arial"/>
      <family val="2"/>
      <charset val="186"/>
    </font>
    <font>
      <sz val="8"/>
      <color theme="1"/>
      <name val="Calibri"/>
      <family val="2"/>
      <charset val="186"/>
      <scheme val="minor"/>
    </font>
    <font>
      <sz val="10"/>
      <color theme="1"/>
      <name val="Calibri"/>
      <family val="2"/>
      <charset val="186"/>
      <scheme val="minor"/>
    </font>
    <font>
      <sz val="12"/>
      <color theme="1"/>
      <name val="Calibri"/>
      <family val="2"/>
      <charset val="186"/>
      <scheme val="minor"/>
    </font>
    <font>
      <b/>
      <i/>
      <sz val="12"/>
      <color rgb="FF054F95"/>
      <name val="Arial"/>
      <family val="2"/>
      <charset val="186"/>
    </font>
    <font>
      <sz val="10"/>
      <color rgb="FF3366FF"/>
      <name val="Arial"/>
      <family val="2"/>
      <charset val="186"/>
    </font>
    <font>
      <sz val="7"/>
      <color theme="1"/>
      <name val="Arial"/>
      <family val="2"/>
      <charset val="186"/>
    </font>
    <font>
      <b/>
      <sz val="11"/>
      <color rgb="FF3366FF"/>
      <name val="Arial"/>
      <family val="2"/>
      <charset val="186"/>
    </font>
    <font>
      <b/>
      <sz val="12"/>
      <color theme="1"/>
      <name val="Arial"/>
      <family val="2"/>
      <charset val="186"/>
    </font>
    <font>
      <b/>
      <sz val="9"/>
      <color rgb="FF000000"/>
      <name val="Arial"/>
      <family val="2"/>
      <charset val="186"/>
    </font>
    <font>
      <sz val="8"/>
      <color rgb="FF000000"/>
      <name val="Arial"/>
      <family val="2"/>
      <charset val="186"/>
    </font>
    <font>
      <sz val="8"/>
      <color theme="1"/>
      <name val="Arial"/>
      <family val="2"/>
      <charset val="186"/>
    </font>
    <font>
      <b/>
      <sz val="11"/>
      <color rgb="FF000000"/>
      <name val="Arial"/>
      <family val="2"/>
      <charset val="186"/>
    </font>
    <font>
      <b/>
      <i/>
      <sz val="9"/>
      <color rgb="FF054F95"/>
      <name val="Arial"/>
      <family val="2"/>
      <charset val="186"/>
    </font>
    <font>
      <sz val="9"/>
      <color rgb="FF000000"/>
      <name val="Arial"/>
      <family val="2"/>
      <charset val="186"/>
    </font>
    <font>
      <b/>
      <sz val="9"/>
      <color theme="1"/>
      <name val="Arial"/>
      <family val="2"/>
      <charset val="186"/>
    </font>
    <font>
      <sz val="9"/>
      <color theme="1"/>
      <name val="Times New Roman"/>
      <family val="1"/>
      <charset val="186"/>
    </font>
    <font>
      <i/>
      <sz val="8"/>
      <color rgb="FF000000"/>
      <name val="Arial"/>
      <family val="2"/>
      <charset val="186"/>
    </font>
    <font>
      <i/>
      <sz val="11"/>
      <color theme="1"/>
      <name val="Calibri"/>
      <family val="2"/>
      <charset val="186"/>
      <scheme val="minor"/>
    </font>
    <font>
      <b/>
      <i/>
      <sz val="8"/>
      <color rgb="FF000000"/>
      <name val="Arial"/>
      <family val="2"/>
      <charset val="186"/>
    </font>
    <font>
      <sz val="8"/>
      <color rgb="FF3366FF"/>
      <name val="Arial"/>
      <family val="2"/>
      <charset val="186"/>
    </font>
    <font>
      <sz val="14"/>
      <color theme="1"/>
      <name val="Calibri"/>
      <family val="2"/>
      <charset val="186"/>
      <scheme val="minor"/>
    </font>
    <font>
      <b/>
      <sz val="12"/>
      <color rgb="FF054F95"/>
      <name val="Arial"/>
      <family val="2"/>
      <charset val="186"/>
    </font>
    <font>
      <b/>
      <sz val="12"/>
      <color theme="1"/>
      <name val="Calibri"/>
      <family val="2"/>
      <charset val="186"/>
      <scheme val="minor"/>
    </font>
    <font>
      <sz val="8"/>
      <color rgb="FF229BD7"/>
      <name val="Arial"/>
      <family val="2"/>
      <charset val="186"/>
    </font>
    <font>
      <b/>
      <sz val="8"/>
      <color rgb="FF669900"/>
      <name val="Arial"/>
      <family val="2"/>
      <charset val="186"/>
    </font>
    <font>
      <sz val="8"/>
      <color rgb="FF054F95"/>
      <name val="Arial"/>
      <family val="2"/>
      <charset val="186"/>
    </font>
    <font>
      <i/>
      <sz val="11"/>
      <color rgb="FF054F95"/>
      <name val="Arial"/>
      <family val="2"/>
      <charset val="186"/>
    </font>
    <font>
      <b/>
      <i/>
      <sz val="14"/>
      <color rgb="FF054F95"/>
      <name val="Arial"/>
      <family val="2"/>
      <charset val="186"/>
    </font>
    <font>
      <sz val="9"/>
      <color theme="1"/>
      <name val="Calibri"/>
      <family val="2"/>
      <charset val="186"/>
      <scheme val="minor"/>
    </font>
    <font>
      <sz val="10"/>
      <color theme="1"/>
      <name val="Arial"/>
      <family val="2"/>
      <charset val="186"/>
    </font>
    <font>
      <b/>
      <sz val="8"/>
      <color rgb="FF054F95"/>
      <name val="Arial"/>
      <family val="2"/>
      <charset val="186"/>
    </font>
    <font>
      <b/>
      <sz val="9"/>
      <color rgb="FF669900"/>
      <name val="Arial"/>
      <family val="2"/>
      <charset val="186"/>
    </font>
    <font>
      <b/>
      <i/>
      <sz val="8"/>
      <color rgb="FF054F95"/>
      <name val="Arial"/>
      <family val="2"/>
      <charset val="186"/>
    </font>
    <font>
      <i/>
      <sz val="8"/>
      <color theme="1"/>
      <name val="Arial"/>
      <family val="2"/>
      <charset val="186"/>
    </font>
    <font>
      <sz val="11"/>
      <color rgb="FF000000"/>
      <name val="Arial"/>
      <family val="2"/>
      <charset val="186"/>
    </font>
    <font>
      <b/>
      <sz val="11"/>
      <color rgb="FF669900"/>
      <name val="Arial"/>
      <family val="2"/>
      <charset val="186"/>
    </font>
    <font>
      <i/>
      <sz val="10"/>
      <color theme="1"/>
      <name val="Calibri"/>
      <family val="2"/>
      <charset val="186"/>
      <scheme val="minor"/>
    </font>
    <font>
      <sz val="11"/>
      <color rgb="FF669900"/>
      <name val="Arial"/>
      <family val="2"/>
      <charset val="186"/>
    </font>
    <font>
      <sz val="11"/>
      <color rgb="FF3366FF"/>
      <name val="Arial"/>
      <family val="2"/>
      <charset val="186"/>
    </font>
    <font>
      <sz val="10"/>
      <color rgb="FF054F95"/>
      <name val="Arial"/>
      <family val="2"/>
      <charset val="186"/>
    </font>
    <font>
      <sz val="9"/>
      <color theme="1"/>
      <name val="Arial"/>
      <family val="2"/>
      <charset val="186"/>
    </font>
    <font>
      <sz val="12"/>
      <color rgb="FF229BD7"/>
      <name val="Arial"/>
      <family val="2"/>
      <charset val="186"/>
    </font>
    <font>
      <b/>
      <sz val="10"/>
      <color rgb="FF669900"/>
      <name val="Arial"/>
      <family val="2"/>
      <charset val="186"/>
    </font>
    <font>
      <sz val="10"/>
      <color theme="1"/>
      <name val="Times New Roman"/>
      <family val="1"/>
      <charset val="186"/>
    </font>
    <font>
      <sz val="8"/>
      <color theme="1"/>
      <name val="Times New Roman"/>
      <family val="1"/>
      <charset val="186"/>
    </font>
    <font>
      <sz val="11"/>
      <color theme="1"/>
      <name val="Arial"/>
      <family val="2"/>
      <charset val="186"/>
    </font>
    <font>
      <i/>
      <sz val="12"/>
      <color theme="1"/>
      <name val="Calibri"/>
      <family val="2"/>
      <charset val="186"/>
      <scheme val="minor"/>
    </font>
    <font>
      <i/>
      <sz val="9"/>
      <color theme="1"/>
      <name val="Arial"/>
      <family val="2"/>
      <charset val="186"/>
    </font>
    <font>
      <b/>
      <sz val="7"/>
      <color rgb="FF000000"/>
      <name val="Arial"/>
      <family val="2"/>
      <charset val="186"/>
    </font>
    <font>
      <sz val="8"/>
      <color rgb="FF808080"/>
      <name val="Arial"/>
      <family val="2"/>
      <charset val="186"/>
    </font>
    <font>
      <b/>
      <i/>
      <sz val="8"/>
      <color rgb="FF008000"/>
      <name val="Arial"/>
      <family val="2"/>
      <charset val="186"/>
    </font>
    <font>
      <b/>
      <sz val="10"/>
      <color theme="1"/>
      <name val="Arial"/>
      <family val="2"/>
      <charset val="186"/>
    </font>
    <font>
      <vertAlign val="superscript"/>
      <sz val="8"/>
      <color theme="1"/>
      <name val="Arial"/>
      <family val="2"/>
      <charset val="186"/>
    </font>
    <font>
      <i/>
      <sz val="9"/>
      <color rgb="FF000000"/>
      <name val="Arial"/>
      <family val="2"/>
      <charset val="186"/>
    </font>
    <font>
      <vertAlign val="superscript"/>
      <sz val="7"/>
      <color theme="1"/>
      <name val="Arial"/>
      <family val="2"/>
      <charset val="186"/>
    </font>
    <font>
      <vertAlign val="superscript"/>
      <sz val="7"/>
      <color rgb="FF000000"/>
      <name val="Arial"/>
      <family val="2"/>
      <charset val="186"/>
    </font>
    <font>
      <sz val="7"/>
      <color rgb="FF000000"/>
      <name val="Arial"/>
      <family val="2"/>
      <charset val="186"/>
    </font>
    <font>
      <b/>
      <i/>
      <sz val="8"/>
      <color theme="1"/>
      <name val="Arial"/>
      <family val="2"/>
      <charset val="186"/>
    </font>
    <font>
      <sz val="16"/>
      <color rgb="FF054F95"/>
      <name val="Arial"/>
      <family val="2"/>
      <charset val="186"/>
    </font>
    <font>
      <b/>
      <sz val="8"/>
      <color theme="6" tint="-0.249977111117893"/>
      <name val="Arial"/>
      <family val="2"/>
      <charset val="186"/>
    </font>
    <font>
      <b/>
      <u/>
      <sz val="8"/>
      <color theme="1"/>
      <name val="Arial"/>
      <family val="2"/>
      <charset val="186"/>
    </font>
    <font>
      <b/>
      <sz val="14"/>
      <color rgb="FF054F95"/>
      <name val="Times New Roman"/>
      <family val="1"/>
      <charset val="186"/>
    </font>
    <font>
      <b/>
      <sz val="12"/>
      <color rgb="FF054F95"/>
      <name val="Times New Roman"/>
      <family val="1"/>
      <charset val="186"/>
    </font>
    <font>
      <b/>
      <sz val="11"/>
      <color rgb="FF054F95"/>
      <name val="Times New Roman"/>
      <family val="1"/>
      <charset val="186"/>
    </font>
    <font>
      <b/>
      <sz val="8"/>
      <color theme="1"/>
      <name val="Calibri"/>
      <family val="2"/>
      <charset val="186"/>
      <scheme val="minor"/>
    </font>
    <font>
      <b/>
      <sz val="7"/>
      <color rgb="FF054F95"/>
      <name val="Times New Roman"/>
      <family val="1"/>
      <charset val="186"/>
    </font>
    <font>
      <b/>
      <sz val="8"/>
      <color rgb="FF0060A0"/>
      <name val="Arial"/>
      <family val="2"/>
      <charset val="186"/>
    </font>
    <font>
      <i/>
      <sz val="8"/>
      <color rgb="FF808080"/>
      <name val="Arial"/>
      <family val="2"/>
      <charset val="186"/>
    </font>
    <font>
      <sz val="8"/>
      <color theme="0" tint="-0.499984740745262"/>
      <name val="Arial"/>
      <family val="2"/>
      <charset val="186"/>
    </font>
    <font>
      <sz val="11"/>
      <color theme="1"/>
      <name val="Calibri"/>
      <family val="2"/>
      <charset val="186"/>
    </font>
    <font>
      <b/>
      <sz val="8"/>
      <color rgb="FF054F95"/>
      <name val="Times New Roman"/>
      <family val="1"/>
      <charset val="186"/>
    </font>
    <font>
      <sz val="9"/>
      <color theme="0" tint="-0.499984740745262"/>
      <name val="Arial"/>
      <family val="2"/>
      <charset val="186"/>
    </font>
    <font>
      <sz val="11"/>
      <color theme="0" tint="-0.499984740745262"/>
      <name val="Calibri"/>
      <family val="2"/>
      <charset val="186"/>
      <scheme val="minor"/>
    </font>
    <font>
      <b/>
      <sz val="9"/>
      <color theme="4" tint="-0.499984740745262"/>
      <name val="Arial"/>
      <family val="2"/>
      <charset val="186"/>
    </font>
    <font>
      <sz val="11"/>
      <color theme="1"/>
      <name val="Calibri"/>
      <family val="2"/>
      <charset val="186"/>
      <scheme val="minor"/>
    </font>
    <font>
      <sz val="11"/>
      <name val="Calibri"/>
      <family val="2"/>
      <charset val="186"/>
    </font>
    <font>
      <sz val="8"/>
      <color rgb="FF000000"/>
      <name val="Times New Roman"/>
      <family val="1"/>
      <charset val="186"/>
    </font>
    <font>
      <sz val="10"/>
      <name val="Times New Roman"/>
      <family val="1"/>
      <charset val="186"/>
    </font>
    <font>
      <sz val="9"/>
      <name val="Arial"/>
      <family val="2"/>
      <charset val="186"/>
    </font>
    <font>
      <sz val="8"/>
      <color rgb="FF000000"/>
      <name val="Calibri"/>
      <family val="2"/>
      <charset val="186"/>
    </font>
    <font>
      <sz val="12"/>
      <color theme="1"/>
      <name val="Times New Roman"/>
      <family val="1"/>
      <charset val="186"/>
    </font>
    <font>
      <b/>
      <i/>
      <sz val="4"/>
      <color theme="1"/>
      <name val="Arial"/>
      <family val="2"/>
      <charset val="186"/>
    </font>
    <font>
      <b/>
      <sz val="7"/>
      <color theme="1"/>
      <name val="Arial"/>
      <family val="2"/>
      <charset val="186"/>
    </font>
    <font>
      <sz val="7"/>
      <color rgb="FF808080"/>
      <name val="Arial"/>
      <family val="2"/>
      <charset val="186"/>
    </font>
    <font>
      <sz val="6.5"/>
      <color rgb="FF808080"/>
      <name val="Arial"/>
      <family val="2"/>
      <charset val="186"/>
    </font>
    <font>
      <sz val="11"/>
      <color rgb="FFFF0000"/>
      <name val="Calibri"/>
      <family val="2"/>
      <charset val="186"/>
      <scheme val="minor"/>
    </font>
    <font>
      <sz val="12"/>
      <color rgb="FF000000"/>
      <name val="Arial"/>
      <family val="2"/>
      <charset val="186"/>
    </font>
    <font>
      <b/>
      <i/>
      <sz val="11"/>
      <color rgb="FF054F95"/>
      <name val="Arial"/>
      <family val="2"/>
      <charset val="186"/>
    </font>
    <font>
      <sz val="12"/>
      <color theme="1"/>
      <name val="Arial"/>
      <family val="2"/>
      <charset val="186"/>
    </font>
    <font>
      <sz val="11"/>
      <color theme="0"/>
      <name val="Calibri"/>
      <family val="2"/>
      <charset val="186"/>
      <scheme val="minor"/>
    </font>
    <font>
      <b/>
      <vertAlign val="subscript"/>
      <sz val="10"/>
      <color indexed="30"/>
      <name val="Arial"/>
      <family val="2"/>
      <charset val="186"/>
    </font>
    <font>
      <b/>
      <sz val="10"/>
      <color indexed="30"/>
      <name val="Arial"/>
      <family val="2"/>
      <charset val="186"/>
    </font>
    <font>
      <b/>
      <sz val="9"/>
      <color theme="1"/>
      <name val="Calibri"/>
      <family val="2"/>
      <charset val="186"/>
      <scheme val="minor"/>
    </font>
    <font>
      <sz val="7"/>
      <color theme="1"/>
      <name val="Calibri"/>
      <family val="2"/>
      <charset val="186"/>
      <scheme val="minor"/>
    </font>
    <font>
      <b/>
      <sz val="7"/>
      <name val="Arial"/>
      <family val="2"/>
      <charset val="186"/>
    </font>
    <font>
      <sz val="8"/>
      <name val="Calibri"/>
      <family val="2"/>
      <charset val="186"/>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CCECFF"/>
        <bgColor indexed="64"/>
      </patternFill>
    </fill>
  </fills>
  <borders count="16">
    <border>
      <left/>
      <right/>
      <top/>
      <bottom/>
      <diagonal/>
    </border>
    <border>
      <left/>
      <right/>
      <top/>
      <bottom style="medium">
        <color rgb="FF054F95"/>
      </bottom>
      <diagonal/>
    </border>
    <border>
      <left/>
      <right/>
      <top style="thick">
        <color rgb="FF054F95"/>
      </top>
      <bottom style="medium">
        <color rgb="FF054F95"/>
      </bottom>
      <diagonal/>
    </border>
    <border>
      <left/>
      <right/>
      <top style="thick">
        <color rgb="FF054F95"/>
      </top>
      <bottom/>
      <diagonal/>
    </border>
    <border>
      <left/>
      <right/>
      <top style="medium">
        <color rgb="FF054F95"/>
      </top>
      <bottom style="medium">
        <color rgb="FF054F95"/>
      </bottom>
      <diagonal/>
    </border>
    <border>
      <left/>
      <right/>
      <top style="medium">
        <color rgb="FF054F95"/>
      </top>
      <bottom/>
      <diagonal/>
    </border>
    <border>
      <left/>
      <right/>
      <top style="thin">
        <color rgb="FF054F95"/>
      </top>
      <bottom style="medium">
        <color rgb="FF054F95"/>
      </bottom>
      <diagonal/>
    </border>
    <border>
      <left/>
      <right/>
      <top style="medium">
        <color rgb="FF054F95"/>
      </top>
      <bottom style="thin">
        <color rgb="FF054F95"/>
      </bottom>
      <diagonal/>
    </border>
    <border>
      <left/>
      <right/>
      <top/>
      <bottom style="thick">
        <color rgb="FF054F95"/>
      </bottom>
      <diagonal/>
    </border>
    <border>
      <left/>
      <right/>
      <top style="thin">
        <color rgb="FF054F95"/>
      </top>
      <bottom style="thin">
        <color rgb="FF054F95"/>
      </bottom>
      <diagonal/>
    </border>
    <border>
      <left/>
      <right/>
      <top/>
      <bottom style="thin">
        <color rgb="FF054F95"/>
      </bottom>
      <diagonal/>
    </border>
    <border>
      <left/>
      <right/>
      <top style="thin">
        <color rgb="FF054F95"/>
      </top>
      <bottom/>
      <diagonal/>
    </border>
    <border>
      <left/>
      <right/>
      <top style="medium">
        <color rgb="FF054F95"/>
      </top>
      <bottom style="thick">
        <color rgb="FF054F95"/>
      </bottom>
      <diagonal/>
    </border>
    <border>
      <left/>
      <right/>
      <top style="thin">
        <color rgb="FF0070C0"/>
      </top>
      <bottom style="thin">
        <color rgb="FF0070C0"/>
      </bottom>
      <diagonal/>
    </border>
    <border>
      <left/>
      <right/>
      <top style="thick">
        <color rgb="FF054F95"/>
      </top>
      <bottom style="thin">
        <color rgb="FF054F95"/>
      </bottom>
      <diagonal/>
    </border>
    <border>
      <left/>
      <right/>
      <top style="thin">
        <color rgb="FF054F95"/>
      </top>
      <bottom style="thick">
        <color rgb="FF054F95"/>
      </bottom>
      <diagonal/>
    </border>
  </borders>
  <cellStyleXfs count="4">
    <xf numFmtId="0" fontId="0" fillId="0" borderId="0"/>
    <xf numFmtId="0" fontId="14" fillId="0" borderId="0"/>
    <xf numFmtId="0" fontId="99" fillId="0" borderId="0"/>
    <xf numFmtId="9" fontId="104" fillId="0" borderId="0" applyFont="0" applyFill="0" applyBorder="0" applyAlignment="0" applyProtection="0"/>
  </cellStyleXfs>
  <cellXfs count="1617">
    <xf numFmtId="0" fontId="0" fillId="0" borderId="0" xfId="0"/>
    <xf numFmtId="0" fontId="22" fillId="0" borderId="0" xfId="0" applyFont="1" applyAlignment="1">
      <alignment vertical="center"/>
    </xf>
    <xf numFmtId="0" fontId="21" fillId="0" borderId="0" xfId="0" applyFont="1" applyAlignment="1">
      <alignment vertical="center" wrapText="1"/>
    </xf>
    <xf numFmtId="0" fontId="26" fillId="0" borderId="0" xfId="0" applyFont="1" applyAlignment="1">
      <alignment vertical="center"/>
    </xf>
    <xf numFmtId="3" fontId="0" fillId="0" borderId="0" xfId="0" applyNumberFormat="1"/>
    <xf numFmtId="3" fontId="31" fillId="0" borderId="0" xfId="0" applyNumberFormat="1" applyFont="1"/>
    <xf numFmtId="3" fontId="32" fillId="0" borderId="0" xfId="0" applyNumberFormat="1" applyFont="1"/>
    <xf numFmtId="3" fontId="32" fillId="0" borderId="0" xfId="0" applyNumberFormat="1" applyFont="1" applyAlignment="1"/>
    <xf numFmtId="3" fontId="33" fillId="0" borderId="0" xfId="0" applyNumberFormat="1" applyFont="1" applyAlignment="1">
      <alignment horizontal="justify"/>
    </xf>
    <xf numFmtId="3" fontId="0" fillId="0" borderId="0" xfId="0" applyNumberFormat="1" applyAlignment="1"/>
    <xf numFmtId="3" fontId="28" fillId="0" borderId="0" xfId="0" applyNumberFormat="1" applyFont="1" applyAlignment="1">
      <alignment horizontal="justify"/>
    </xf>
    <xf numFmtId="3" fontId="31" fillId="0" borderId="0" xfId="0" applyNumberFormat="1" applyFont="1" applyAlignment="1"/>
    <xf numFmtId="0" fontId="41" fillId="0" borderId="0" xfId="0" applyFont="1" applyAlignment="1">
      <alignment vertical="center"/>
    </xf>
    <xf numFmtId="0" fontId="42" fillId="0" borderId="0" xfId="0" applyFont="1" applyAlignment="1">
      <alignment horizontal="justify" vertical="center"/>
    </xf>
    <xf numFmtId="0" fontId="43" fillId="0" borderId="0" xfId="0" applyFont="1" applyAlignment="1">
      <alignment horizontal="justify" vertical="center"/>
    </xf>
    <xf numFmtId="0" fontId="40" fillId="2" borderId="0" xfId="0" applyFont="1" applyFill="1" applyAlignment="1">
      <alignment horizontal="right" vertical="center" wrapText="1"/>
    </xf>
    <xf numFmtId="0" fontId="40" fillId="0" borderId="1" xfId="0" applyFont="1" applyBorder="1" applyAlignment="1">
      <alignment horizontal="center" vertical="center" wrapText="1"/>
    </xf>
    <xf numFmtId="0" fontId="44" fillId="0" borderId="0" xfId="0" applyFont="1" applyAlignment="1">
      <alignment horizontal="right" vertical="center" wrapText="1"/>
    </xf>
    <xf numFmtId="0" fontId="45" fillId="0" borderId="0" xfId="0" applyFont="1" applyAlignment="1">
      <alignment vertical="center" wrapText="1"/>
    </xf>
    <xf numFmtId="0" fontId="21" fillId="0" borderId="0" xfId="0" applyFont="1" applyAlignment="1">
      <alignment horizontal="right" vertical="center" wrapText="1"/>
    </xf>
    <xf numFmtId="3" fontId="47" fillId="0" borderId="0" xfId="0" applyNumberFormat="1" applyFont="1"/>
    <xf numFmtId="0" fontId="21" fillId="0" borderId="0" xfId="0" applyFont="1" applyBorder="1" applyAlignment="1">
      <alignment horizontal="right" vertical="center" wrapText="1"/>
    </xf>
    <xf numFmtId="0" fontId="9" fillId="0" borderId="0" xfId="0" applyFont="1" applyAlignment="1" applyProtection="1">
      <alignment vertical="center"/>
    </xf>
    <xf numFmtId="0" fontId="0" fillId="0" borderId="0" xfId="0" applyAlignment="1">
      <alignment vertical="center" wrapText="1"/>
    </xf>
    <xf numFmtId="0" fontId="22" fillId="0" borderId="0" xfId="0" applyFont="1" applyAlignment="1">
      <alignment horizontal="left" vertical="center"/>
    </xf>
    <xf numFmtId="0" fontId="50" fillId="0" borderId="0" xfId="0" applyFont="1" applyAlignment="1">
      <alignment vertical="center" wrapText="1"/>
    </xf>
    <xf numFmtId="0" fontId="30" fillId="0" borderId="0" xfId="0" applyFont="1" applyAlignment="1">
      <alignment vertical="center" wrapText="1"/>
    </xf>
    <xf numFmtId="0" fontId="47" fillId="0" borderId="0" xfId="0" applyFont="1" applyAlignment="1">
      <alignment vertical="center"/>
    </xf>
    <xf numFmtId="0" fontId="0" fillId="0" borderId="0" xfId="0" applyAlignment="1">
      <alignment vertical="center"/>
    </xf>
    <xf numFmtId="0" fontId="51" fillId="0" borderId="0" xfId="0" applyFont="1" applyAlignment="1">
      <alignment vertical="center"/>
    </xf>
    <xf numFmtId="0" fontId="32" fillId="0" borderId="0" xfId="0" applyFont="1" applyAlignment="1">
      <alignment vertical="center"/>
    </xf>
    <xf numFmtId="0" fontId="30" fillId="0" borderId="0" xfId="0" applyFont="1" applyAlignment="1">
      <alignment vertical="center"/>
    </xf>
    <xf numFmtId="0" fontId="39" fillId="0" borderId="0" xfId="0" applyFont="1" applyAlignment="1">
      <alignment horizontal="justify" vertical="center"/>
    </xf>
    <xf numFmtId="0" fontId="31" fillId="0" borderId="0" xfId="0" applyFont="1" applyAlignment="1">
      <alignment horizontal="left" vertical="center"/>
    </xf>
    <xf numFmtId="0" fontId="40" fillId="0" borderId="0" xfId="0" applyFont="1" applyAlignment="1">
      <alignment horizontal="center" vertical="center" wrapText="1"/>
    </xf>
    <xf numFmtId="3" fontId="30" fillId="0" borderId="0" xfId="0" applyNumberFormat="1" applyFont="1" applyAlignment="1">
      <alignment vertical="center"/>
    </xf>
    <xf numFmtId="3" fontId="51" fillId="0" borderId="0" xfId="0" applyNumberFormat="1" applyFont="1" applyAlignment="1">
      <alignment vertical="center"/>
    </xf>
    <xf numFmtId="3" fontId="52" fillId="0" borderId="0" xfId="0" applyNumberFormat="1" applyFont="1" applyAlignment="1">
      <alignment vertical="center"/>
    </xf>
    <xf numFmtId="3" fontId="40" fillId="0" borderId="0" xfId="0" applyNumberFormat="1" applyFont="1" applyAlignment="1">
      <alignment horizontal="right" vertical="center" wrapText="1"/>
    </xf>
    <xf numFmtId="3" fontId="40" fillId="2" borderId="0" xfId="0" applyNumberFormat="1" applyFont="1" applyFill="1" applyAlignment="1">
      <alignment horizontal="right" vertical="center" wrapText="1"/>
    </xf>
    <xf numFmtId="3" fontId="40" fillId="2" borderId="0" xfId="0" applyNumberFormat="1" applyFont="1" applyFill="1" applyBorder="1" applyAlignment="1">
      <alignment horizontal="right" vertical="center" wrapText="1"/>
    </xf>
    <xf numFmtId="3" fontId="53" fillId="0" borderId="0" xfId="0" applyNumberFormat="1" applyFont="1" applyAlignment="1">
      <alignment horizontal="justify" vertical="center"/>
    </xf>
    <xf numFmtId="3" fontId="54" fillId="0" borderId="0" xfId="0" applyNumberFormat="1" applyFont="1" applyAlignment="1">
      <alignment horizontal="justify" vertical="center"/>
    </xf>
    <xf numFmtId="3" fontId="51" fillId="0" borderId="0" xfId="0" applyNumberFormat="1" applyFont="1" applyAlignment="1">
      <alignment horizontal="justify" vertical="center"/>
    </xf>
    <xf numFmtId="3" fontId="55" fillId="0" borderId="0" xfId="0" applyNumberFormat="1" applyFont="1" applyAlignment="1">
      <alignment vertical="center"/>
    </xf>
    <xf numFmtId="3" fontId="56" fillId="0" borderId="0" xfId="0" applyNumberFormat="1" applyFont="1" applyAlignment="1">
      <alignment vertical="center"/>
    </xf>
    <xf numFmtId="3" fontId="33" fillId="0" borderId="0" xfId="0" applyNumberFormat="1" applyFont="1" applyAlignment="1">
      <alignment horizontal="left" vertical="center"/>
    </xf>
    <xf numFmtId="3" fontId="39" fillId="0" borderId="0" xfId="0" applyNumberFormat="1" applyFont="1" applyAlignment="1">
      <alignment horizontal="justify" vertical="center"/>
    </xf>
    <xf numFmtId="0" fontId="50" fillId="0" borderId="0" xfId="0" applyFont="1" applyAlignment="1">
      <alignment vertical="center"/>
    </xf>
    <xf numFmtId="0" fontId="0" fillId="0" borderId="0" xfId="0" applyBorder="1" applyAlignment="1">
      <alignment vertical="center" wrapText="1"/>
    </xf>
    <xf numFmtId="3" fontId="0" fillId="0" borderId="0" xfId="0" applyNumberFormat="1" applyAlignment="1">
      <alignment vertical="center"/>
    </xf>
    <xf numFmtId="0" fontId="57" fillId="0" borderId="0" xfId="0" applyFont="1" applyAlignment="1">
      <alignment vertical="center"/>
    </xf>
    <xf numFmtId="0" fontId="0" fillId="0" borderId="0" xfId="0" applyBorder="1" applyAlignment="1">
      <alignment vertical="center"/>
    </xf>
    <xf numFmtId="0" fontId="58" fillId="0" borderId="0" xfId="0" applyFont="1" applyAlignment="1">
      <alignment vertical="center"/>
    </xf>
    <xf numFmtId="0" fontId="0" fillId="0" borderId="0" xfId="0" applyAlignment="1">
      <alignment horizontal="right" vertical="center"/>
    </xf>
    <xf numFmtId="0" fontId="31" fillId="0" borderId="0" xfId="0" applyFont="1" applyAlignment="1">
      <alignment vertical="center"/>
    </xf>
    <xf numFmtId="0" fontId="0" fillId="0" borderId="0" xfId="0" applyAlignment="1">
      <alignment horizontal="center" vertical="center"/>
    </xf>
    <xf numFmtId="0" fontId="66" fillId="0" borderId="0" xfId="0" applyFont="1" applyAlignment="1">
      <alignment vertical="center"/>
    </xf>
    <xf numFmtId="0" fontId="68" fillId="0" borderId="0" xfId="0" applyFont="1" applyAlignment="1">
      <alignment horizontal="left" vertical="center"/>
    </xf>
    <xf numFmtId="0" fontId="51" fillId="0" borderId="0" xfId="0" applyFont="1" applyAlignment="1">
      <alignment horizontal="left" vertical="center"/>
    </xf>
    <xf numFmtId="3" fontId="47" fillId="0" borderId="0" xfId="0" applyNumberFormat="1" applyFont="1" applyAlignment="1">
      <alignment vertical="center"/>
    </xf>
    <xf numFmtId="3" fontId="32" fillId="0" borderId="0" xfId="0" applyNumberFormat="1" applyFont="1" applyAlignment="1">
      <alignment vertical="center"/>
    </xf>
    <xf numFmtId="3" fontId="40" fillId="0" borderId="0" xfId="0" applyNumberFormat="1" applyFont="1" applyAlignment="1">
      <alignment horizontal="justify" vertical="center"/>
    </xf>
    <xf numFmtId="3" fontId="51" fillId="0" borderId="0" xfId="0" applyNumberFormat="1" applyFont="1" applyFill="1" applyAlignment="1">
      <alignment vertical="center"/>
    </xf>
    <xf numFmtId="3" fontId="26" fillId="0" borderId="0" xfId="0" applyNumberFormat="1" applyFont="1" applyAlignment="1">
      <alignment vertical="center"/>
    </xf>
    <xf numFmtId="3" fontId="31" fillId="0" borderId="0" xfId="0" applyNumberFormat="1" applyFont="1" applyAlignment="1">
      <alignment vertical="center"/>
    </xf>
    <xf numFmtId="3" fontId="21" fillId="0" borderId="0" xfId="0" applyNumberFormat="1" applyFont="1" applyBorder="1" applyAlignment="1">
      <alignment vertical="center" wrapText="1"/>
    </xf>
    <xf numFmtId="0" fontId="47" fillId="0" borderId="0" xfId="0" applyFont="1" applyAlignment="1">
      <alignment horizontal="center" vertical="center"/>
    </xf>
    <xf numFmtId="0" fontId="50" fillId="0" borderId="0" xfId="0" applyFont="1" applyAlignment="1">
      <alignment horizontal="center" vertical="center"/>
    </xf>
    <xf numFmtId="3" fontId="74" fillId="0" borderId="0" xfId="0" applyNumberFormat="1" applyFont="1" applyAlignment="1">
      <alignment vertical="center" wrapText="1"/>
    </xf>
    <xf numFmtId="3" fontId="39" fillId="0" borderId="0" xfId="0" applyNumberFormat="1" applyFont="1" applyBorder="1" applyAlignment="1">
      <alignment horizontal="right" vertical="center" wrapText="1"/>
    </xf>
    <xf numFmtId="0" fontId="30" fillId="3" borderId="0" xfId="0" applyFont="1" applyFill="1" applyAlignment="1">
      <alignment vertical="center" wrapText="1"/>
    </xf>
    <xf numFmtId="3" fontId="76" fillId="0" borderId="0" xfId="0" applyNumberFormat="1" applyFont="1" applyAlignment="1">
      <alignment vertical="center"/>
    </xf>
    <xf numFmtId="3" fontId="24" fillId="0" borderId="0" xfId="0" applyNumberFormat="1" applyFont="1" applyFill="1" applyBorder="1" applyAlignment="1">
      <alignment horizontal="right" vertical="center" wrapText="1"/>
    </xf>
    <xf numFmtId="3" fontId="30" fillId="0" borderId="0" xfId="0" applyNumberFormat="1" applyFont="1" applyFill="1" applyAlignment="1">
      <alignment vertical="center"/>
    </xf>
    <xf numFmtId="3" fontId="40" fillId="0" borderId="0" xfId="0" applyNumberFormat="1" applyFont="1" applyFill="1" applyBorder="1" applyAlignment="1">
      <alignment vertical="center" wrapText="1"/>
    </xf>
    <xf numFmtId="3" fontId="51" fillId="0" borderId="0" xfId="0" applyNumberFormat="1" applyFont="1" applyFill="1" applyAlignment="1"/>
    <xf numFmtId="3" fontId="22" fillId="0" borderId="0" xfId="0" applyNumberFormat="1" applyFont="1" applyFill="1" applyAlignment="1">
      <alignment vertical="center"/>
    </xf>
    <xf numFmtId="3" fontId="22" fillId="0" borderId="0" xfId="0" applyNumberFormat="1" applyFont="1" applyAlignment="1">
      <alignment vertical="center"/>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0" xfId="0" applyFont="1" applyBorder="1" applyAlignment="1">
      <alignment horizontal="center" vertical="center" wrapText="1"/>
    </xf>
    <xf numFmtId="0" fontId="39" fillId="0" borderId="9" xfId="0" applyFont="1" applyBorder="1" applyAlignment="1">
      <alignment vertical="center" wrapText="1"/>
    </xf>
    <xf numFmtId="0" fontId="24" fillId="3" borderId="9" xfId="0" applyFont="1" applyFill="1" applyBorder="1" applyAlignment="1">
      <alignment wrapText="1"/>
    </xf>
    <xf numFmtId="0" fontId="24" fillId="3" borderId="9" xfId="0" applyFont="1" applyFill="1" applyBorder="1" applyAlignment="1">
      <alignment horizontal="center" wrapText="1"/>
    </xf>
    <xf numFmtId="0" fontId="21" fillId="0" borderId="10" xfId="0" applyFont="1" applyBorder="1" applyAlignment="1">
      <alignment vertical="center" wrapText="1"/>
    </xf>
    <xf numFmtId="0" fontId="4" fillId="0" borderId="10" xfId="0" applyFont="1" applyBorder="1" applyAlignment="1">
      <alignment vertical="center" wrapText="1"/>
    </xf>
    <xf numFmtId="0" fontId="21" fillId="0" borderId="10"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9" xfId="0" applyFont="1" applyBorder="1" applyAlignment="1">
      <alignment vertical="center" wrapText="1"/>
    </xf>
    <xf numFmtId="0" fontId="5" fillId="0" borderId="9" xfId="0" applyFont="1" applyBorder="1" applyAlignment="1">
      <alignment vertical="center" wrapText="1"/>
    </xf>
    <xf numFmtId="0" fontId="21" fillId="0" borderId="5" xfId="0" applyFont="1" applyBorder="1" applyAlignment="1">
      <alignment horizontal="center" vertical="center" wrapText="1"/>
    </xf>
    <xf numFmtId="0" fontId="39" fillId="0" borderId="10" xfId="0" applyFont="1" applyBorder="1" applyAlignment="1">
      <alignment vertical="center" wrapText="1"/>
    </xf>
    <xf numFmtId="0" fontId="58" fillId="3" borderId="0" xfId="0" applyFont="1" applyFill="1" applyBorder="1" applyAlignment="1">
      <alignment vertical="center"/>
    </xf>
    <xf numFmtId="14" fontId="21" fillId="3" borderId="0" xfId="0" applyNumberFormat="1" applyFont="1" applyFill="1" applyBorder="1" applyAlignment="1">
      <alignment horizontal="right" vertical="center" wrapText="1"/>
    </xf>
    <xf numFmtId="0" fontId="39" fillId="3" borderId="0" xfId="0" applyFont="1" applyFill="1" applyBorder="1" applyAlignment="1">
      <alignment horizontal="right" vertical="center" wrapText="1"/>
    </xf>
    <xf numFmtId="3" fontId="39" fillId="3" borderId="0" xfId="0" applyNumberFormat="1" applyFont="1" applyFill="1" applyBorder="1" applyAlignment="1">
      <alignment horizontal="right" vertical="center" wrapText="1"/>
    </xf>
    <xf numFmtId="3" fontId="24" fillId="3" borderId="0" xfId="0" applyNumberFormat="1" applyFont="1" applyFill="1" applyBorder="1" applyAlignment="1">
      <alignment horizontal="right" vertical="center" wrapText="1"/>
    </xf>
    <xf numFmtId="0" fontId="0" fillId="3" borderId="0" xfId="0" applyFill="1" applyBorder="1" applyAlignment="1">
      <alignment vertical="center"/>
    </xf>
    <xf numFmtId="0" fontId="40" fillId="3" borderId="0" xfId="0" applyFont="1" applyFill="1" applyBorder="1" applyAlignment="1">
      <alignment horizontal="right" vertical="center" wrapText="1"/>
    </xf>
    <xf numFmtId="3" fontId="40" fillId="3" borderId="0" xfId="0" applyNumberFormat="1" applyFont="1" applyFill="1" applyBorder="1" applyAlignment="1">
      <alignment horizontal="right" vertical="center" wrapText="1"/>
    </xf>
    <xf numFmtId="3" fontId="21" fillId="3" borderId="0" xfId="0" applyNumberFormat="1" applyFont="1" applyFill="1" applyBorder="1" applyAlignment="1">
      <alignment horizontal="right" vertical="center" wrapText="1"/>
    </xf>
    <xf numFmtId="0" fontId="78" fillId="3" borderId="0" xfId="0" applyFont="1" applyFill="1" applyBorder="1" applyAlignment="1">
      <alignment horizontal="center" vertical="center" wrapText="1"/>
    </xf>
    <xf numFmtId="0" fontId="78" fillId="3" borderId="0" xfId="0" applyFont="1" applyFill="1" applyBorder="1" applyAlignment="1">
      <alignment horizontal="right" vertical="center" wrapText="1"/>
    </xf>
    <xf numFmtId="9" fontId="21" fillId="3" borderId="0" xfId="0" applyNumberFormat="1" applyFont="1" applyFill="1" applyBorder="1" applyAlignment="1">
      <alignment horizontal="right" vertical="center" wrapText="1"/>
    </xf>
    <xf numFmtId="0" fontId="21" fillId="3" borderId="0" xfId="0" applyFont="1" applyFill="1" applyBorder="1" applyAlignment="1">
      <alignment horizontal="right" vertical="center" wrapText="1"/>
    </xf>
    <xf numFmtId="0" fontId="24" fillId="3" borderId="0" xfId="0" applyFont="1" applyFill="1" applyBorder="1" applyAlignment="1">
      <alignment horizontal="right" vertical="center" wrapText="1"/>
    </xf>
    <xf numFmtId="0" fontId="30" fillId="3" borderId="0" xfId="0" applyFont="1" applyFill="1" applyBorder="1" applyAlignment="1">
      <alignment vertical="center"/>
    </xf>
    <xf numFmtId="3" fontId="30" fillId="0" borderId="0" xfId="0" applyNumberFormat="1" applyFont="1" applyBorder="1" applyAlignment="1">
      <alignment vertical="center"/>
    </xf>
    <xf numFmtId="3" fontId="52" fillId="0" borderId="0" xfId="0" applyNumberFormat="1" applyFont="1" applyBorder="1" applyAlignment="1">
      <alignment vertical="center"/>
    </xf>
    <xf numFmtId="3" fontId="40" fillId="0" borderId="9" xfId="0" applyNumberFormat="1" applyFont="1" applyBorder="1" applyAlignment="1">
      <alignment vertical="center" wrapText="1"/>
    </xf>
    <xf numFmtId="0" fontId="5" fillId="0" borderId="0" xfId="0" applyFont="1" applyBorder="1" applyAlignment="1">
      <alignment vertical="center" wrapText="1"/>
    </xf>
    <xf numFmtId="0" fontId="40" fillId="2" borderId="9" xfId="0" applyFont="1" applyFill="1" applyBorder="1" applyAlignment="1">
      <alignment vertical="center" wrapText="1"/>
    </xf>
    <xf numFmtId="0" fontId="73" fillId="0" borderId="0" xfId="0" applyFont="1" applyBorder="1" applyAlignment="1">
      <alignment vertical="center" wrapText="1"/>
    </xf>
    <xf numFmtId="3" fontId="40" fillId="0" borderId="9" xfId="0" applyNumberFormat="1" applyFont="1" applyFill="1" applyBorder="1" applyAlignment="1">
      <alignment horizontal="right" vertical="center" wrapText="1"/>
    </xf>
    <xf numFmtId="3" fontId="40" fillId="0" borderId="0" xfId="0" applyNumberFormat="1" applyFont="1" applyFill="1" applyBorder="1" applyAlignment="1">
      <alignment horizontal="right" vertical="center" wrapText="1"/>
    </xf>
    <xf numFmtId="164" fontId="39" fillId="0" borderId="9" xfId="0" applyNumberFormat="1" applyFont="1" applyFill="1" applyBorder="1" applyAlignment="1">
      <alignment horizontal="right" vertical="center" wrapText="1"/>
    </xf>
    <xf numFmtId="0" fontId="82" fillId="0" borderId="0" xfId="0" applyFont="1" applyAlignment="1">
      <alignment horizontal="left" vertical="center"/>
    </xf>
    <xf numFmtId="0" fontId="63" fillId="0" borderId="0" xfId="0" applyFont="1" applyBorder="1" applyAlignment="1">
      <alignment vertical="center" wrapText="1"/>
    </xf>
    <xf numFmtId="0" fontId="39"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5" xfId="0" applyFont="1" applyBorder="1" applyAlignment="1">
      <alignment horizontal="center" vertical="center" wrapText="1"/>
    </xf>
    <xf numFmtId="164" fontId="39" fillId="0" borderId="0" xfId="0" applyNumberFormat="1" applyFont="1" applyFill="1" applyBorder="1" applyAlignment="1">
      <alignment horizontal="right" vertical="center" wrapText="1"/>
    </xf>
    <xf numFmtId="0" fontId="84" fillId="0" borderId="0" xfId="0" applyFont="1" applyAlignment="1">
      <alignment horizontal="left" vertical="center"/>
    </xf>
    <xf numFmtId="0" fontId="35" fillId="0" borderId="0" xfId="0" applyFont="1" applyAlignment="1">
      <alignment horizontal="left" vertical="center"/>
    </xf>
    <xf numFmtId="0" fontId="85" fillId="0" borderId="0" xfId="0" applyFont="1" applyAlignment="1">
      <alignment horizontal="left" vertical="center"/>
    </xf>
    <xf numFmtId="0" fontId="84" fillId="0" borderId="0" xfId="0" applyFont="1" applyAlignment="1">
      <alignment horizontal="left" vertical="center" wrapText="1"/>
    </xf>
    <xf numFmtId="0" fontId="85" fillId="0" borderId="0" xfId="0" applyFont="1" applyAlignment="1">
      <alignment horizontal="left" vertical="center" wrapText="1"/>
    </xf>
    <xf numFmtId="0" fontId="86" fillId="0" borderId="0" xfId="0" applyFont="1" applyAlignment="1">
      <alignment horizontal="left" vertical="center" indent="4"/>
    </xf>
    <xf numFmtId="3" fontId="0" fillId="3" borderId="0" xfId="0" applyNumberFormat="1" applyFill="1" applyBorder="1" applyAlignment="1">
      <alignment vertical="center"/>
    </xf>
    <xf numFmtId="0" fontId="40" fillId="0" borderId="0" xfId="0" applyFont="1" applyBorder="1" applyAlignment="1">
      <alignment vertical="center" wrapText="1"/>
    </xf>
    <xf numFmtId="3" fontId="40" fillId="0" borderId="0" xfId="0" applyNumberFormat="1" applyFont="1" applyBorder="1" applyAlignment="1">
      <alignment vertical="center" wrapText="1"/>
    </xf>
    <xf numFmtId="0" fontId="63" fillId="0" borderId="0" xfId="0" applyFont="1" applyBorder="1" applyAlignment="1">
      <alignment horizontal="right" vertical="center" wrapText="1"/>
    </xf>
    <xf numFmtId="0" fontId="40" fillId="0" borderId="8" xfId="0" applyFont="1" applyBorder="1" applyAlignment="1">
      <alignment horizontal="center" vertical="center" wrapText="1"/>
    </xf>
    <xf numFmtId="0" fontId="63" fillId="0" borderId="8" xfId="0" applyFont="1" applyBorder="1" applyAlignment="1">
      <alignment horizontal="right" vertical="center" wrapText="1"/>
    </xf>
    <xf numFmtId="0" fontId="33" fillId="0" borderId="0" xfId="0" applyFont="1" applyAlignment="1">
      <alignment vertical="center" wrapText="1"/>
    </xf>
    <xf numFmtId="0" fontId="0" fillId="0" borderId="0" xfId="0" applyFill="1" applyAlignment="1">
      <alignment vertical="center" wrapText="1"/>
    </xf>
    <xf numFmtId="164" fontId="39" fillId="0" borderId="10" xfId="0" applyNumberFormat="1" applyFont="1" applyFill="1" applyBorder="1" applyAlignment="1">
      <alignment horizontal="right" vertical="center" wrapText="1"/>
    </xf>
    <xf numFmtId="164" fontId="39" fillId="0" borderId="6" xfId="0" applyNumberFormat="1" applyFont="1" applyFill="1" applyBorder="1" applyAlignment="1">
      <alignment horizontal="right" vertical="center" wrapText="1"/>
    </xf>
    <xf numFmtId="0" fontId="40" fillId="0" borderId="10" xfId="0" applyFont="1" applyBorder="1" applyAlignment="1">
      <alignment vertical="center" wrapText="1"/>
    </xf>
    <xf numFmtId="0" fontId="40" fillId="0" borderId="0" xfId="0" applyFont="1" applyBorder="1" applyAlignment="1">
      <alignment horizontal="right" vertical="center" wrapText="1"/>
    </xf>
    <xf numFmtId="0" fontId="40" fillId="0" borderId="0" xfId="0" applyFont="1" applyBorder="1" applyAlignment="1">
      <alignment vertical="center" wrapText="1"/>
    </xf>
    <xf numFmtId="0" fontId="0" fillId="0" borderId="0" xfId="0" applyBorder="1"/>
    <xf numFmtId="0" fontId="0" fillId="3" borderId="0" xfId="0" applyFill="1" applyBorder="1"/>
    <xf numFmtId="0" fontId="0" fillId="3" borderId="0" xfId="0" applyFill="1" applyBorder="1" applyAlignment="1">
      <alignment horizontal="center"/>
    </xf>
    <xf numFmtId="0" fontId="63" fillId="3" borderId="0" xfId="0" applyFont="1" applyFill="1" applyBorder="1" applyAlignment="1">
      <alignment horizontal="right" vertical="center" wrapText="1"/>
    </xf>
    <xf numFmtId="166" fontId="39" fillId="3" borderId="0" xfId="0" applyNumberFormat="1" applyFont="1" applyFill="1" applyBorder="1" applyAlignment="1">
      <alignment horizontal="right" vertical="center" wrapText="1"/>
    </xf>
    <xf numFmtId="9" fontId="39" fillId="3" borderId="0" xfId="0" applyNumberFormat="1" applyFont="1" applyFill="1" applyBorder="1" applyAlignment="1">
      <alignment horizontal="right" vertical="center" wrapText="1"/>
    </xf>
    <xf numFmtId="168" fontId="39" fillId="3" borderId="0" xfId="0" applyNumberFormat="1" applyFont="1" applyFill="1" applyBorder="1" applyAlignment="1">
      <alignment horizontal="right" vertical="center" wrapText="1"/>
    </xf>
    <xf numFmtId="169" fontId="39" fillId="3" borderId="0" xfId="0" applyNumberFormat="1" applyFont="1" applyFill="1" applyBorder="1" applyAlignment="1">
      <alignment horizontal="right" vertical="center" wrapText="1"/>
    </xf>
    <xf numFmtId="3" fontId="40" fillId="3" borderId="0" xfId="0" applyNumberFormat="1" applyFont="1" applyFill="1" applyBorder="1" applyAlignment="1">
      <alignment vertical="center" wrapText="1"/>
    </xf>
    <xf numFmtId="0" fontId="63" fillId="0" borderId="9" xfId="0" applyFont="1" applyFill="1" applyBorder="1" applyAlignment="1">
      <alignment horizontal="right" vertical="center" wrapText="1"/>
    </xf>
    <xf numFmtId="0" fontId="40" fillId="2" borderId="6" xfId="0" applyFont="1" applyFill="1" applyBorder="1" applyAlignment="1">
      <alignment vertical="center" wrapText="1"/>
    </xf>
    <xf numFmtId="0" fontId="5" fillId="0" borderId="6" xfId="0" applyFont="1" applyBorder="1" applyAlignment="1">
      <alignment vertical="center" wrapText="1"/>
    </xf>
    <xf numFmtId="164" fontId="39" fillId="4" borderId="9" xfId="0" applyNumberFormat="1" applyFont="1" applyFill="1" applyBorder="1" applyAlignment="1">
      <alignment horizontal="right" vertical="center" wrapText="1"/>
    </xf>
    <xf numFmtId="0" fontId="87" fillId="2" borderId="10" xfId="0" applyFont="1" applyFill="1" applyBorder="1" applyAlignment="1">
      <alignment horizontal="right" vertical="center" wrapText="1"/>
    </xf>
    <xf numFmtId="0" fontId="0" fillId="3" borderId="5" xfId="0" applyFill="1" applyBorder="1"/>
    <xf numFmtId="0" fontId="33" fillId="3" borderId="5" xfId="0" applyFont="1" applyFill="1" applyBorder="1" applyAlignment="1">
      <alignment vertical="center" wrapText="1"/>
    </xf>
    <xf numFmtId="0" fontId="87" fillId="3" borderId="0" xfId="0" applyFont="1" applyFill="1" applyBorder="1" applyAlignment="1">
      <alignment horizontal="right" vertical="center" wrapText="1"/>
    </xf>
    <xf numFmtId="164" fontId="0" fillId="0" borderId="0" xfId="0" applyNumberFormat="1"/>
    <xf numFmtId="166" fontId="39" fillId="0" borderId="9" xfId="0" applyNumberFormat="1" applyFont="1" applyFill="1" applyBorder="1" applyAlignment="1">
      <alignment horizontal="right" vertical="center" wrapText="1"/>
    </xf>
    <xf numFmtId="9" fontId="39" fillId="0" borderId="9" xfId="0" applyNumberFormat="1" applyFont="1" applyFill="1" applyBorder="1" applyAlignment="1">
      <alignment horizontal="right" vertical="center" wrapText="1"/>
    </xf>
    <xf numFmtId="168" fontId="39" fillId="0" borderId="9" xfId="0" applyNumberFormat="1" applyFont="1" applyFill="1" applyBorder="1" applyAlignment="1">
      <alignment horizontal="right" vertical="center" wrapText="1"/>
    </xf>
    <xf numFmtId="169" fontId="39" fillId="0" borderId="9" xfId="0" applyNumberFormat="1" applyFont="1" applyFill="1" applyBorder="1" applyAlignment="1">
      <alignment horizontal="right" vertical="center" wrapText="1"/>
    </xf>
    <xf numFmtId="0" fontId="40" fillId="0" borderId="6" xfId="0" applyFont="1" applyBorder="1" applyAlignment="1">
      <alignment vertical="center" wrapText="1"/>
    </xf>
    <xf numFmtId="9" fontId="39" fillId="0" borderId="6" xfId="0" applyNumberFormat="1" applyFont="1" applyFill="1" applyBorder="1" applyAlignment="1">
      <alignment horizontal="right" vertical="center" wrapText="1"/>
    </xf>
    <xf numFmtId="0" fontId="40" fillId="0" borderId="6" xfId="0" applyFont="1" applyFill="1" applyBorder="1" applyAlignment="1">
      <alignment horizontal="right" vertical="center" wrapText="1"/>
    </xf>
    <xf numFmtId="166" fontId="39" fillId="0" borderId="0" xfId="0" applyNumberFormat="1" applyFont="1" applyFill="1" applyBorder="1" applyAlignment="1">
      <alignment horizontal="right" wrapText="1"/>
    </xf>
    <xf numFmtId="166" fontId="39" fillId="3" borderId="0" xfId="0" applyNumberFormat="1" applyFont="1" applyFill="1" applyBorder="1" applyAlignment="1">
      <alignment horizontal="right" wrapText="1"/>
    </xf>
    <xf numFmtId="3" fontId="40" fillId="3" borderId="0" xfId="0" applyNumberFormat="1" applyFont="1" applyFill="1" applyBorder="1" applyAlignment="1">
      <alignment wrapText="1"/>
    </xf>
    <xf numFmtId="0" fontId="40" fillId="0" borderId="0" xfId="0" applyFont="1" applyBorder="1" applyAlignment="1">
      <alignment wrapText="1"/>
    </xf>
    <xf numFmtId="0" fontId="5" fillId="0" borderId="0" xfId="0" applyFont="1" applyBorder="1" applyAlignment="1">
      <alignment wrapText="1"/>
    </xf>
    <xf numFmtId="0" fontId="40" fillId="0" borderId="10" xfId="0" applyFont="1" applyBorder="1" applyAlignment="1">
      <alignment wrapText="1"/>
    </xf>
    <xf numFmtId="0" fontId="5" fillId="0" borderId="10" xfId="0" applyFont="1" applyBorder="1" applyAlignment="1">
      <alignment wrapText="1"/>
    </xf>
    <xf numFmtId="3" fontId="40" fillId="0" borderId="10" xfId="0" applyNumberFormat="1" applyFont="1" applyBorder="1" applyAlignment="1">
      <alignment wrapText="1"/>
    </xf>
    <xf numFmtId="0" fontId="40" fillId="2" borderId="10" xfId="0" applyFont="1" applyFill="1" applyBorder="1" applyAlignment="1">
      <alignment horizontal="right" vertical="center" wrapText="1"/>
    </xf>
    <xf numFmtId="0" fontId="50" fillId="3" borderId="0" xfId="0" applyFont="1" applyFill="1" applyAlignment="1">
      <alignment vertical="center" wrapText="1"/>
    </xf>
    <xf numFmtId="0" fontId="0" fillId="3" borderId="0" xfId="0" applyFill="1" applyAlignment="1">
      <alignment vertical="center" wrapText="1"/>
    </xf>
    <xf numFmtId="0" fontId="40" fillId="3" borderId="10" xfId="0" applyFont="1" applyFill="1" applyBorder="1" applyAlignment="1">
      <alignment vertical="center" wrapText="1"/>
    </xf>
    <xf numFmtId="0" fontId="39" fillId="3" borderId="10" xfId="0" applyFont="1" applyFill="1" applyBorder="1" applyAlignment="1">
      <alignment vertical="center" wrapText="1"/>
    </xf>
    <xf numFmtId="0" fontId="21" fillId="3" borderId="10" xfId="0" applyFont="1" applyFill="1" applyBorder="1" applyAlignment="1">
      <alignment horizontal="center" vertical="center" wrapText="1"/>
    </xf>
    <xf numFmtId="0" fontId="40" fillId="3" borderId="0" xfId="0" applyFont="1" applyFill="1" applyAlignment="1">
      <alignment horizontal="right" vertical="center" wrapText="1"/>
    </xf>
    <xf numFmtId="0" fontId="39" fillId="3" borderId="9" xfId="0" applyFont="1" applyFill="1" applyBorder="1" applyAlignment="1">
      <alignment vertical="center" wrapText="1"/>
    </xf>
    <xf numFmtId="0" fontId="39" fillId="3" borderId="9" xfId="0" applyFont="1" applyFill="1" applyBorder="1" applyAlignment="1">
      <alignment horizontal="center" vertical="center" wrapText="1"/>
    </xf>
    <xf numFmtId="164" fontId="39" fillId="3" borderId="9" xfId="0" applyNumberFormat="1" applyFont="1" applyFill="1" applyBorder="1" applyAlignment="1">
      <alignment horizontal="right" vertical="center" wrapText="1"/>
    </xf>
    <xf numFmtId="0" fontId="39" fillId="3" borderId="9" xfId="0" applyFont="1" applyFill="1" applyBorder="1" applyAlignment="1">
      <alignment wrapText="1"/>
    </xf>
    <xf numFmtId="0" fontId="39" fillId="3" borderId="9" xfId="0" applyFont="1" applyFill="1" applyBorder="1" applyAlignment="1">
      <alignment horizontal="center" wrapText="1"/>
    </xf>
    <xf numFmtId="164" fontId="39" fillId="3" borderId="9" xfId="0" applyNumberFormat="1" applyFont="1" applyFill="1" applyBorder="1" applyAlignment="1">
      <alignment horizontal="right" wrapText="1"/>
    </xf>
    <xf numFmtId="0" fontId="24" fillId="3" borderId="9" xfId="0" applyFont="1" applyFill="1" applyBorder="1" applyAlignment="1">
      <alignment vertical="center" wrapText="1"/>
    </xf>
    <xf numFmtId="0" fontId="39" fillId="3" borderId="9" xfId="0" quotePrefix="1" applyFont="1" applyFill="1" applyBorder="1" applyAlignment="1">
      <alignment horizontal="center" vertical="center" wrapText="1"/>
    </xf>
    <xf numFmtId="3" fontId="39" fillId="3" borderId="9" xfId="0" applyNumberFormat="1" applyFont="1" applyFill="1" applyBorder="1" applyAlignment="1">
      <alignment horizontal="right" vertical="center" wrapText="1"/>
    </xf>
    <xf numFmtId="0" fontId="39" fillId="3" borderId="0" xfId="0" applyFont="1" applyFill="1" applyBorder="1" applyAlignment="1">
      <alignment vertical="center" wrapText="1"/>
    </xf>
    <xf numFmtId="0" fontId="39" fillId="3" borderId="0" xfId="0" applyFont="1" applyFill="1" applyBorder="1" applyAlignment="1">
      <alignment horizontal="center" vertical="center" wrapText="1"/>
    </xf>
    <xf numFmtId="167" fontId="39" fillId="3" borderId="10" xfId="0" applyNumberFormat="1" applyFont="1" applyFill="1" applyBorder="1" applyAlignment="1">
      <alignment horizontal="right" vertical="center" wrapText="1"/>
    </xf>
    <xf numFmtId="0" fontId="39" fillId="3" borderId="6" xfId="0" applyFont="1" applyFill="1" applyBorder="1" applyAlignment="1">
      <alignment vertical="center" wrapText="1"/>
    </xf>
    <xf numFmtId="0" fontId="39" fillId="3" borderId="6" xfId="0" applyFont="1" applyFill="1" applyBorder="1" applyAlignment="1">
      <alignment horizontal="center" vertical="center" wrapText="1"/>
    </xf>
    <xf numFmtId="167" fontId="39" fillId="3" borderId="6" xfId="0" applyNumberFormat="1" applyFont="1" applyFill="1" applyBorder="1" applyAlignment="1">
      <alignment horizontal="right" vertical="center" wrapText="1"/>
    </xf>
    <xf numFmtId="0" fontId="44" fillId="3" borderId="6" xfId="0" applyFont="1" applyFill="1" applyBorder="1" applyAlignment="1">
      <alignment horizontal="right" vertical="center" wrapText="1"/>
    </xf>
    <xf numFmtId="0" fontId="44" fillId="4" borderId="6" xfId="0" applyFont="1" applyFill="1" applyBorder="1" applyAlignment="1">
      <alignment horizontal="right" vertical="center" wrapText="1"/>
    </xf>
    <xf numFmtId="0" fontId="39" fillId="3" borderId="11" xfId="0" applyFont="1" applyFill="1" applyBorder="1" applyAlignment="1">
      <alignment vertical="center" wrapText="1"/>
    </xf>
    <xf numFmtId="0" fontId="39" fillId="3" borderId="11" xfId="0" applyFont="1" applyFill="1" applyBorder="1" applyAlignment="1">
      <alignment horizontal="center" vertical="center" wrapText="1"/>
    </xf>
    <xf numFmtId="164" fontId="39" fillId="3" borderId="11" xfId="0" applyNumberFormat="1" applyFont="1" applyFill="1" applyBorder="1" applyAlignment="1">
      <alignment horizontal="right" vertical="center" wrapText="1"/>
    </xf>
    <xf numFmtId="0" fontId="24" fillId="3" borderId="7" xfId="0" applyFont="1" applyFill="1" applyBorder="1" applyAlignment="1">
      <alignment vertical="center" wrapText="1"/>
    </xf>
    <xf numFmtId="0" fontId="39" fillId="3" borderId="7" xfId="0" applyFont="1" applyFill="1" applyBorder="1" applyAlignment="1">
      <alignment horizontal="center" vertical="center" wrapText="1"/>
    </xf>
    <xf numFmtId="165" fontId="24" fillId="3" borderId="7" xfId="0" applyNumberFormat="1" applyFont="1" applyFill="1" applyBorder="1" applyAlignment="1">
      <alignment horizontal="right" vertical="center" wrapText="1"/>
    </xf>
    <xf numFmtId="3" fontId="24" fillId="3" borderId="7" xfId="0" applyNumberFormat="1" applyFont="1" applyFill="1" applyBorder="1" applyAlignment="1">
      <alignment horizontal="right" vertical="center" wrapText="1"/>
    </xf>
    <xf numFmtId="0" fontId="46" fillId="3" borderId="9" xfId="0" applyFont="1" applyFill="1" applyBorder="1" applyAlignment="1">
      <alignment vertical="center" wrapText="1"/>
    </xf>
    <xf numFmtId="0" fontId="24" fillId="3" borderId="9" xfId="0" applyFont="1" applyFill="1" applyBorder="1" applyAlignment="1">
      <alignment horizontal="left" wrapText="1"/>
    </xf>
    <xf numFmtId="3" fontId="24" fillId="3" borderId="9" xfId="0" applyNumberFormat="1" applyFont="1" applyFill="1" applyBorder="1" applyAlignment="1">
      <alignment horizontal="right" wrapText="1"/>
    </xf>
    <xf numFmtId="3" fontId="24" fillId="3" borderId="11" xfId="0" applyNumberFormat="1" applyFont="1" applyFill="1" applyBorder="1" applyAlignment="1">
      <alignment horizontal="right" wrapText="1"/>
    </xf>
    <xf numFmtId="3" fontId="24" fillId="3" borderId="9" xfId="0" applyNumberFormat="1" applyFont="1" applyFill="1" applyBorder="1" applyAlignment="1">
      <alignment horizontal="right" vertical="center" wrapText="1"/>
    </xf>
    <xf numFmtId="0" fontId="24" fillId="3" borderId="6" xfId="0" applyFont="1" applyFill="1" applyBorder="1" applyAlignment="1">
      <alignment wrapText="1"/>
    </xf>
    <xf numFmtId="0" fontId="24" fillId="3" borderId="6" xfId="0" applyFont="1" applyFill="1" applyBorder="1" applyAlignment="1">
      <alignment horizontal="center" wrapText="1"/>
    </xf>
    <xf numFmtId="3" fontId="24" fillId="3" borderId="6" xfId="0" applyNumberFormat="1" applyFont="1" applyFill="1" applyBorder="1" applyAlignment="1">
      <alignment horizontal="right" vertical="center" wrapText="1"/>
    </xf>
    <xf numFmtId="0" fontId="24" fillId="3" borderId="10" xfId="0" applyFont="1" applyFill="1" applyBorder="1" applyAlignment="1">
      <alignment vertical="center" wrapText="1"/>
    </xf>
    <xf numFmtId="0" fontId="24" fillId="3" borderId="10" xfId="0" applyFont="1" applyFill="1" applyBorder="1" applyAlignment="1">
      <alignment horizontal="center" vertical="center" wrapText="1"/>
    </xf>
    <xf numFmtId="3" fontId="24" fillId="3" borderId="10" xfId="0" applyNumberFormat="1" applyFont="1" applyFill="1" applyBorder="1" applyAlignment="1">
      <alignment horizontal="right" vertical="center" wrapText="1"/>
    </xf>
    <xf numFmtId="0" fontId="39" fillId="3" borderId="11" xfId="0" applyFont="1" applyFill="1" applyBorder="1" applyAlignment="1">
      <alignment wrapText="1"/>
    </xf>
    <xf numFmtId="0" fontId="39" fillId="3" borderId="11" xfId="0" applyFont="1" applyFill="1" applyBorder="1" applyAlignment="1">
      <alignment horizontal="center" wrapText="1"/>
    </xf>
    <xf numFmtId="164" fontId="39" fillId="3" borderId="11" xfId="0" applyNumberFormat="1" applyFont="1" applyFill="1" applyBorder="1" applyAlignment="1">
      <alignment horizontal="right" wrapText="1"/>
    </xf>
    <xf numFmtId="0" fontId="24" fillId="3" borderId="7" xfId="0" applyFont="1" applyFill="1" applyBorder="1" applyAlignment="1">
      <alignment horizontal="left" wrapText="1"/>
    </xf>
    <xf numFmtId="0" fontId="24" fillId="3" borderId="7" xfId="0" applyFont="1" applyFill="1" applyBorder="1" applyAlignment="1">
      <alignment horizontal="center" wrapText="1"/>
    </xf>
    <xf numFmtId="164" fontId="24" fillId="3" borderId="7" xfId="0" applyNumberFormat="1" applyFont="1" applyFill="1" applyBorder="1" applyAlignment="1">
      <alignment horizontal="right" wrapText="1"/>
    </xf>
    <xf numFmtId="0" fontId="39" fillId="3" borderId="11" xfId="0" applyFont="1" applyFill="1" applyBorder="1" applyAlignment="1">
      <alignment horizontal="left" wrapText="1"/>
    </xf>
    <xf numFmtId="0" fontId="24" fillId="3" borderId="7" xfId="0" applyFont="1" applyFill="1" applyBorder="1" applyAlignment="1">
      <alignment wrapText="1"/>
    </xf>
    <xf numFmtId="0" fontId="46" fillId="3" borderId="11" xfId="0" applyFont="1" applyFill="1" applyBorder="1" applyAlignment="1">
      <alignment vertical="center" wrapText="1"/>
    </xf>
    <xf numFmtId="3" fontId="39" fillId="3" borderId="11" xfId="0" applyNumberFormat="1" applyFont="1" applyFill="1" applyBorder="1" applyAlignment="1">
      <alignment horizontal="right" vertical="center" wrapText="1"/>
    </xf>
    <xf numFmtId="0" fontId="39" fillId="3" borderId="10" xfId="0" applyFont="1" applyFill="1" applyBorder="1" applyAlignment="1">
      <alignment horizontal="center" vertical="center" wrapText="1"/>
    </xf>
    <xf numFmtId="164" fontId="39" fillId="4" borderId="10" xfId="0" applyNumberFormat="1" applyFont="1" applyFill="1" applyBorder="1" applyAlignment="1">
      <alignment horizontal="right" vertical="center" wrapText="1"/>
    </xf>
    <xf numFmtId="164" fontId="39" fillId="3" borderId="10" xfId="0" applyNumberFormat="1" applyFont="1" applyFill="1" applyBorder="1" applyAlignment="1">
      <alignment horizontal="right" vertical="center" wrapText="1"/>
    </xf>
    <xf numFmtId="0" fontId="39" fillId="3" borderId="0" xfId="0" applyFont="1" applyFill="1" applyBorder="1" applyAlignment="1">
      <alignment horizontal="left" wrapText="1"/>
    </xf>
    <xf numFmtId="0" fontId="39" fillId="3" borderId="0" xfId="0" applyFont="1" applyFill="1" applyBorder="1" applyAlignment="1">
      <alignment wrapText="1"/>
    </xf>
    <xf numFmtId="0" fontId="39" fillId="3" borderId="0" xfId="0" applyFont="1" applyFill="1" applyBorder="1" applyAlignment="1">
      <alignment horizontal="center" wrapText="1"/>
    </xf>
    <xf numFmtId="164" fontId="39" fillId="3" borderId="0" xfId="0" applyNumberFormat="1" applyFont="1" applyFill="1" applyBorder="1" applyAlignment="1">
      <alignment horizontal="right" wrapText="1"/>
    </xf>
    <xf numFmtId="0" fontId="39" fillId="3" borderId="6" xfId="0" applyFont="1" applyFill="1" applyBorder="1" applyAlignment="1">
      <alignment wrapText="1"/>
    </xf>
    <xf numFmtId="0" fontId="39" fillId="3" borderId="6" xfId="0" applyFont="1" applyFill="1" applyBorder="1" applyAlignment="1">
      <alignment horizontal="center" wrapText="1"/>
    </xf>
    <xf numFmtId="3" fontId="39" fillId="3" borderId="6" xfId="0" applyNumberFormat="1" applyFont="1" applyFill="1" applyBorder="1" applyAlignment="1">
      <alignment horizontal="right" vertical="center" wrapText="1"/>
    </xf>
    <xf numFmtId="0" fontId="24" fillId="0" borderId="0" xfId="0" applyFont="1" applyBorder="1" applyAlignment="1">
      <alignment wrapText="1"/>
    </xf>
    <xf numFmtId="0" fontId="30" fillId="0" borderId="0" xfId="0" applyFont="1" applyBorder="1" applyAlignment="1">
      <alignment vertical="center" wrapText="1"/>
    </xf>
    <xf numFmtId="3" fontId="24" fillId="0" borderId="11" xfId="0" applyNumberFormat="1" applyFont="1" applyFill="1" applyBorder="1" applyAlignment="1">
      <alignment horizontal="right" vertical="center" wrapText="1"/>
    </xf>
    <xf numFmtId="0" fontId="39" fillId="3" borderId="10" xfId="0" applyFont="1" applyFill="1" applyBorder="1" applyAlignment="1">
      <alignment wrapText="1"/>
    </xf>
    <xf numFmtId="0" fontId="39" fillId="3" borderId="10" xfId="0" applyFont="1" applyFill="1" applyBorder="1" applyAlignment="1">
      <alignment horizontal="center" wrapText="1"/>
    </xf>
    <xf numFmtId="3" fontId="39" fillId="3" borderId="0" xfId="0" applyNumberFormat="1" applyFont="1" applyFill="1" applyBorder="1" applyAlignment="1">
      <alignment horizontal="right" wrapText="1"/>
    </xf>
    <xf numFmtId="0" fontId="30" fillId="3" borderId="0" xfId="0" applyFont="1" applyFill="1" applyBorder="1" applyAlignment="1">
      <alignment vertical="center" wrapText="1"/>
    </xf>
    <xf numFmtId="0" fontId="21" fillId="3" borderId="9" xfId="0" applyFont="1" applyFill="1" applyBorder="1" applyAlignment="1">
      <alignment vertical="center" wrapText="1"/>
    </xf>
    <xf numFmtId="0" fontId="4" fillId="3" borderId="9" xfId="0" applyFont="1" applyFill="1" applyBorder="1" applyAlignment="1">
      <alignment vertical="center" wrapText="1"/>
    </xf>
    <xf numFmtId="0" fontId="40" fillId="3" borderId="9" xfId="0" applyFont="1" applyFill="1" applyBorder="1" applyAlignment="1">
      <alignment horizontal="center" vertical="center" wrapText="1"/>
    </xf>
    <xf numFmtId="0" fontId="0" fillId="3" borderId="0" xfId="0" applyFill="1" applyBorder="1" applyAlignment="1">
      <alignment vertical="center" wrapText="1"/>
    </xf>
    <xf numFmtId="0" fontId="40" fillId="3" borderId="9" xfId="0" applyFont="1" applyFill="1" applyBorder="1" applyAlignment="1">
      <alignment vertical="center" wrapText="1"/>
    </xf>
    <xf numFmtId="3" fontId="21" fillId="3" borderId="9" xfId="0" applyNumberFormat="1" applyFont="1" applyFill="1" applyBorder="1" applyAlignment="1">
      <alignment horizontal="right" vertical="center" wrapText="1"/>
    </xf>
    <xf numFmtId="3" fontId="40" fillId="3" borderId="9" xfId="0" applyNumberFormat="1" applyFont="1" applyFill="1" applyBorder="1" applyAlignment="1">
      <alignment horizontal="right" vertical="center" wrapText="1"/>
    </xf>
    <xf numFmtId="0" fontId="21" fillId="3" borderId="9" xfId="0" applyFont="1" applyFill="1" applyBorder="1" applyAlignment="1">
      <alignment wrapText="1"/>
    </xf>
    <xf numFmtId="0" fontId="0" fillId="3" borderId="0" xfId="0" applyFill="1" applyAlignment="1">
      <alignment vertical="center"/>
    </xf>
    <xf numFmtId="0" fontId="40" fillId="3" borderId="11" xfId="0" applyFont="1" applyFill="1" applyBorder="1" applyAlignment="1">
      <alignment vertical="center" wrapText="1"/>
    </xf>
    <xf numFmtId="0" fontId="40" fillId="3" borderId="11" xfId="0" applyFont="1" applyFill="1" applyBorder="1" applyAlignment="1">
      <alignment horizontal="center" vertical="center" wrapText="1"/>
    </xf>
    <xf numFmtId="0" fontId="21" fillId="3" borderId="11" xfId="0" applyFont="1" applyFill="1" applyBorder="1" applyAlignment="1">
      <alignment vertical="center" wrapText="1"/>
    </xf>
    <xf numFmtId="0" fontId="5" fillId="3" borderId="11" xfId="0" applyFont="1" applyFill="1" applyBorder="1" applyAlignment="1">
      <alignment vertical="center" wrapText="1"/>
    </xf>
    <xf numFmtId="3" fontId="21" fillId="3" borderId="11" xfId="0" applyNumberFormat="1" applyFont="1" applyFill="1" applyBorder="1" applyAlignment="1">
      <alignment horizontal="right" vertical="center" wrapText="1"/>
    </xf>
    <xf numFmtId="3" fontId="21" fillId="3" borderId="7" xfId="0" applyNumberFormat="1" applyFont="1" applyFill="1" applyBorder="1" applyAlignment="1">
      <alignment horizontal="right" vertical="center" wrapText="1"/>
    </xf>
    <xf numFmtId="0" fontId="21" fillId="3" borderId="7" xfId="0" applyFont="1" applyFill="1" applyBorder="1" applyAlignment="1">
      <alignment vertical="center" wrapText="1"/>
    </xf>
    <xf numFmtId="0" fontId="4" fillId="3" borderId="7" xfId="0" applyFont="1" applyFill="1" applyBorder="1" applyAlignment="1">
      <alignment vertical="center" wrapText="1"/>
    </xf>
    <xf numFmtId="0" fontId="21" fillId="3" borderId="7" xfId="0" applyFont="1" applyFill="1" applyBorder="1" applyAlignment="1">
      <alignment horizontal="center" vertical="center" wrapText="1"/>
    </xf>
    <xf numFmtId="3" fontId="24" fillId="3" borderId="5" xfId="0" applyNumberFormat="1" applyFont="1" applyFill="1" applyBorder="1" applyAlignment="1">
      <alignment horizontal="right" vertical="center" wrapText="1"/>
    </xf>
    <xf numFmtId="0" fontId="21" fillId="3" borderId="5" xfId="0" applyFont="1" applyFill="1" applyBorder="1" applyAlignment="1">
      <alignment vertical="center" wrapText="1"/>
    </xf>
    <xf numFmtId="0" fontId="4" fillId="3" borderId="5" xfId="0" applyFont="1" applyFill="1" applyBorder="1" applyAlignment="1">
      <alignment vertical="center" wrapText="1"/>
    </xf>
    <xf numFmtId="0" fontId="21" fillId="3" borderId="5" xfId="0" applyFont="1" applyFill="1" applyBorder="1" applyAlignment="1">
      <alignment horizontal="center" vertical="center" wrapText="1"/>
    </xf>
    <xf numFmtId="0" fontId="21" fillId="3" borderId="7" xfId="0" applyFont="1" applyFill="1" applyBorder="1" applyAlignment="1">
      <alignment wrapText="1"/>
    </xf>
    <xf numFmtId="3" fontId="21" fillId="3" borderId="5" xfId="0" applyNumberFormat="1" applyFont="1" applyFill="1" applyBorder="1" applyAlignment="1">
      <alignment horizontal="right" vertical="center" wrapText="1"/>
    </xf>
    <xf numFmtId="0" fontId="21" fillId="3" borderId="0" xfId="0" applyFont="1" applyFill="1" applyBorder="1" applyAlignment="1">
      <alignment horizontal="center" vertical="center" wrapText="1"/>
    </xf>
    <xf numFmtId="3" fontId="40" fillId="3" borderId="10" xfId="0" applyNumberFormat="1" applyFont="1" applyFill="1" applyBorder="1" applyAlignment="1">
      <alignment horizontal="right" vertical="center" wrapText="1"/>
    </xf>
    <xf numFmtId="0" fontId="21" fillId="3" borderId="10" xfId="0" applyFont="1" applyFill="1" applyBorder="1" applyAlignment="1">
      <alignment vertical="center" wrapText="1"/>
    </xf>
    <xf numFmtId="0" fontId="40" fillId="3" borderId="10" xfId="0" applyFont="1" applyFill="1" applyBorder="1" applyAlignment="1">
      <alignment horizontal="center" vertical="center" wrapText="1"/>
    </xf>
    <xf numFmtId="3" fontId="21" fillId="3" borderId="4" xfId="0" applyNumberFormat="1" applyFont="1" applyFill="1" applyBorder="1" applyAlignment="1">
      <alignment horizontal="right" vertical="center" wrapText="1"/>
    </xf>
    <xf numFmtId="0" fontId="21" fillId="3" borderId="4" xfId="0" applyFont="1" applyFill="1" applyBorder="1" applyAlignment="1">
      <alignment vertical="center" wrapText="1"/>
    </xf>
    <xf numFmtId="0" fontId="4" fillId="3" borderId="4" xfId="0" applyFont="1" applyFill="1" applyBorder="1" applyAlignment="1">
      <alignment vertical="center" wrapText="1"/>
    </xf>
    <xf numFmtId="0" fontId="21" fillId="3" borderId="4" xfId="0" applyFont="1" applyFill="1" applyBorder="1" applyAlignment="1">
      <alignment horizontal="center" vertical="center" wrapText="1"/>
    </xf>
    <xf numFmtId="0" fontId="50" fillId="0" borderId="0" xfId="0" applyFont="1" applyBorder="1" applyAlignment="1">
      <alignment vertical="center"/>
    </xf>
    <xf numFmtId="0" fontId="88" fillId="0" borderId="0" xfId="0" applyFont="1" applyAlignment="1">
      <alignment horizontal="left" vertical="center" wrapText="1"/>
    </xf>
    <xf numFmtId="164" fontId="40" fillId="3" borderId="11" xfId="0" applyNumberFormat="1" applyFont="1" applyFill="1" applyBorder="1" applyAlignment="1">
      <alignment horizontal="right" vertical="center" wrapText="1"/>
    </xf>
    <xf numFmtId="164" fontId="40" fillId="3" borderId="10" xfId="0" applyNumberFormat="1" applyFont="1" applyFill="1" applyBorder="1" applyAlignment="1">
      <alignment horizontal="right" vertical="center" wrapText="1"/>
    </xf>
    <xf numFmtId="164" fontId="21" fillId="3" borderId="9" xfId="0" applyNumberFormat="1" applyFont="1" applyFill="1" applyBorder="1" applyAlignment="1">
      <alignment horizontal="right" wrapText="1"/>
    </xf>
    <xf numFmtId="164" fontId="21" fillId="3" borderId="11" xfId="0" applyNumberFormat="1" applyFont="1" applyFill="1" applyBorder="1" applyAlignment="1">
      <alignment horizontal="right" wrapText="1"/>
    </xf>
    <xf numFmtId="164" fontId="40" fillId="3" borderId="9" xfId="0" applyNumberFormat="1" applyFont="1" applyFill="1" applyBorder="1" applyAlignment="1">
      <alignment horizontal="right" vertical="center" wrapText="1"/>
    </xf>
    <xf numFmtId="164" fontId="40" fillId="3" borderId="9" xfId="0" applyNumberFormat="1" applyFont="1" applyFill="1" applyBorder="1" applyAlignment="1">
      <alignment horizontal="right" wrapText="1"/>
    </xf>
    <xf numFmtId="164" fontId="21" fillId="3" borderId="0" xfId="0" applyNumberFormat="1" applyFont="1" applyFill="1" applyBorder="1" applyAlignment="1">
      <alignment horizontal="right" vertical="center" wrapText="1"/>
    </xf>
    <xf numFmtId="164" fontId="40" fillId="3" borderId="0" xfId="0" applyNumberFormat="1" applyFont="1" applyFill="1" applyBorder="1" applyAlignment="1">
      <alignment horizontal="right" vertical="center" wrapText="1"/>
    </xf>
    <xf numFmtId="0" fontId="4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74" fillId="3" borderId="0" xfId="0" applyFont="1" applyFill="1" applyAlignment="1">
      <alignment horizontal="center" vertical="center" wrapText="1"/>
    </xf>
    <xf numFmtId="0" fontId="39" fillId="3" borderId="0" xfId="0" applyFont="1" applyFill="1" applyAlignment="1">
      <alignment horizontal="right" vertical="center" wrapText="1"/>
    </xf>
    <xf numFmtId="0" fontId="24" fillId="3" borderId="9" xfId="0" applyFont="1" applyFill="1" applyBorder="1" applyAlignment="1">
      <alignment horizontal="center" vertical="center" wrapText="1"/>
    </xf>
    <xf numFmtId="3" fontId="21" fillId="3" borderId="0" xfId="0" applyNumberFormat="1" applyFont="1" applyFill="1" applyBorder="1" applyAlignment="1">
      <alignment vertical="center" wrapText="1"/>
    </xf>
    <xf numFmtId="3" fontId="40" fillId="3" borderId="10" xfId="0" applyNumberFormat="1" applyFont="1" applyFill="1" applyBorder="1" applyAlignment="1">
      <alignment vertical="center" wrapText="1"/>
    </xf>
    <xf numFmtId="3" fontId="21" fillId="3" borderId="10" xfId="0" applyNumberFormat="1" applyFont="1" applyFill="1" applyBorder="1" applyAlignment="1">
      <alignment vertical="center" wrapText="1"/>
    </xf>
    <xf numFmtId="164" fontId="40" fillId="3" borderId="9" xfId="0" applyNumberFormat="1" applyFont="1" applyFill="1" applyBorder="1" applyAlignment="1">
      <alignment vertical="center" wrapText="1"/>
    </xf>
    <xf numFmtId="164" fontId="21" fillId="3" borderId="9" xfId="0" applyNumberFormat="1" applyFont="1" applyFill="1" applyBorder="1" applyAlignment="1">
      <alignment vertical="center" wrapText="1"/>
    </xf>
    <xf numFmtId="3" fontId="21" fillId="3" borderId="9" xfId="0" applyNumberFormat="1" applyFont="1" applyFill="1" applyBorder="1" applyAlignment="1">
      <alignment horizontal="right" wrapText="1"/>
    </xf>
    <xf numFmtId="164" fontId="21" fillId="3" borderId="9" xfId="0" applyNumberFormat="1" applyFont="1" applyFill="1" applyBorder="1" applyAlignment="1">
      <alignment wrapText="1"/>
    </xf>
    <xf numFmtId="0" fontId="24" fillId="3" borderId="11" xfId="0" applyFont="1" applyFill="1" applyBorder="1" applyAlignment="1">
      <alignment vertical="center" wrapText="1"/>
    </xf>
    <xf numFmtId="0" fontId="24" fillId="3" borderId="11" xfId="0" applyFont="1" applyFill="1" applyBorder="1" applyAlignment="1">
      <alignment horizontal="center" vertical="center" wrapText="1"/>
    </xf>
    <xf numFmtId="3" fontId="21" fillId="3" borderId="10" xfId="0" applyNumberFormat="1" applyFont="1" applyFill="1" applyBorder="1" applyAlignment="1">
      <alignment horizontal="right" vertical="center" wrapText="1"/>
    </xf>
    <xf numFmtId="164" fontId="21" fillId="3" borderId="9" xfId="0" applyNumberFormat="1" applyFont="1" applyFill="1" applyBorder="1" applyAlignment="1">
      <alignment horizontal="right" vertical="center" wrapText="1"/>
    </xf>
    <xf numFmtId="3" fontId="40" fillId="3" borderId="9" xfId="0" applyNumberFormat="1" applyFont="1" applyFill="1" applyBorder="1" applyAlignment="1">
      <alignment horizontal="right" wrapText="1"/>
    </xf>
    <xf numFmtId="164" fontId="40" fillId="3" borderId="9" xfId="0" applyNumberFormat="1" applyFont="1" applyFill="1" applyBorder="1" applyAlignment="1">
      <alignment wrapText="1"/>
    </xf>
    <xf numFmtId="0" fontId="0" fillId="3" borderId="0" xfId="0" applyFill="1" applyAlignment="1">
      <alignment horizontal="center" vertical="center"/>
    </xf>
    <xf numFmtId="3" fontId="0" fillId="3" borderId="0" xfId="0" applyNumberFormat="1" applyFill="1" applyAlignment="1">
      <alignment vertical="center"/>
    </xf>
    <xf numFmtId="0" fontId="55" fillId="3" borderId="0" xfId="0" applyFont="1" applyFill="1" applyAlignment="1">
      <alignment horizontal="left" vertical="center" wrapText="1"/>
    </xf>
    <xf numFmtId="0" fontId="89" fillId="3" borderId="0" xfId="0" applyFont="1" applyFill="1" applyAlignment="1">
      <alignment vertical="center"/>
    </xf>
    <xf numFmtId="0" fontId="40" fillId="3" borderId="0" xfId="0" applyFont="1" applyFill="1" applyAlignment="1">
      <alignment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9" fillId="3" borderId="0" xfId="0" applyFont="1" applyFill="1" applyBorder="1" applyAlignment="1">
      <alignment vertical="center" wrapText="1"/>
    </xf>
    <xf numFmtId="0" fontId="40" fillId="3" borderId="0" xfId="0" applyFont="1" applyFill="1" applyBorder="1" applyAlignment="1">
      <alignment vertical="center" wrapText="1"/>
    </xf>
    <xf numFmtId="164" fontId="5" fillId="3" borderId="11" xfId="0" applyNumberFormat="1" applyFont="1" applyFill="1" applyBorder="1" applyAlignment="1">
      <alignment horizontal="right" vertical="center" wrapText="1"/>
    </xf>
    <xf numFmtId="164" fontId="5" fillId="3" borderId="10" xfId="0" applyNumberFormat="1" applyFont="1" applyFill="1" applyBorder="1" applyAlignment="1">
      <alignment horizontal="right" vertical="center" wrapText="1"/>
    </xf>
    <xf numFmtId="164" fontId="4" fillId="3" borderId="9" xfId="0" applyNumberFormat="1" applyFont="1" applyFill="1" applyBorder="1" applyAlignment="1">
      <alignment horizontal="right" wrapText="1"/>
    </xf>
    <xf numFmtId="0" fontId="21" fillId="3" borderId="0" xfId="0" applyFont="1" applyFill="1" applyBorder="1" applyAlignment="1">
      <alignment vertical="center" wrapText="1"/>
    </xf>
    <xf numFmtId="164" fontId="4" fillId="3" borderId="11" xfId="0" applyNumberFormat="1" applyFont="1" applyFill="1" applyBorder="1" applyAlignment="1">
      <alignment horizontal="right" wrapText="1"/>
    </xf>
    <xf numFmtId="0" fontId="40" fillId="3" borderId="0" xfId="0" applyFont="1" applyFill="1" applyBorder="1" applyAlignment="1">
      <alignment wrapText="1"/>
    </xf>
    <xf numFmtId="0" fontId="40" fillId="3" borderId="9" xfId="0" applyFont="1" applyFill="1" applyBorder="1" applyAlignment="1">
      <alignment wrapText="1"/>
    </xf>
    <xf numFmtId="164" fontId="4" fillId="3" borderId="9" xfId="0" applyNumberFormat="1" applyFont="1" applyFill="1" applyBorder="1" applyAlignment="1">
      <alignment horizontal="right" vertical="center" wrapText="1"/>
    </xf>
    <xf numFmtId="0" fontId="21" fillId="3" borderId="0" xfId="0" applyFont="1" applyFill="1" applyBorder="1" applyAlignment="1">
      <alignment wrapText="1"/>
    </xf>
    <xf numFmtId="164" fontId="5" fillId="3" borderId="9" xfId="0" applyNumberFormat="1" applyFont="1" applyFill="1" applyBorder="1" applyAlignment="1">
      <alignment horizontal="right" wrapText="1"/>
    </xf>
    <xf numFmtId="164" fontId="4" fillId="3" borderId="0" xfId="0" applyNumberFormat="1" applyFont="1" applyFill="1" applyBorder="1" applyAlignment="1">
      <alignment horizontal="right" vertical="center" wrapText="1"/>
    </xf>
    <xf numFmtId="164" fontId="5" fillId="3" borderId="9" xfId="0" applyNumberFormat="1" applyFont="1" applyFill="1" applyBorder="1" applyAlignment="1">
      <alignment horizontal="right" vertical="center" wrapText="1"/>
    </xf>
    <xf numFmtId="0" fontId="74" fillId="3" borderId="10" xfId="0" applyFont="1" applyFill="1" applyBorder="1" applyAlignment="1">
      <alignment vertical="center" wrapText="1"/>
    </xf>
    <xf numFmtId="0" fontId="24" fillId="3" borderId="4" xfId="0" applyFont="1" applyFill="1" applyBorder="1" applyAlignment="1">
      <alignment vertical="center" wrapText="1"/>
    </xf>
    <xf numFmtId="0" fontId="24" fillId="3" borderId="4" xfId="0" applyFont="1" applyFill="1" applyBorder="1" applyAlignment="1">
      <alignment horizontal="center" vertical="center" wrapText="1"/>
    </xf>
    <xf numFmtId="3" fontId="24" fillId="3" borderId="4" xfId="0" applyNumberFormat="1" applyFont="1" applyFill="1" applyBorder="1" applyAlignment="1">
      <alignment horizontal="right" vertical="center" wrapText="1"/>
    </xf>
    <xf numFmtId="0" fontId="44" fillId="3" borderId="5" xfId="0" applyFont="1" applyFill="1" applyBorder="1" applyAlignment="1">
      <alignment horizontal="center" vertical="center" wrapText="1"/>
    </xf>
    <xf numFmtId="0" fontId="24" fillId="3" borderId="0" xfId="0" applyFont="1" applyFill="1" applyBorder="1" applyAlignment="1">
      <alignment vertical="center" wrapText="1"/>
    </xf>
    <xf numFmtId="0" fontId="24" fillId="3" borderId="0" xfId="0" applyFont="1" applyFill="1" applyBorder="1" applyAlignment="1">
      <alignment horizontal="center" vertical="center" wrapText="1"/>
    </xf>
    <xf numFmtId="0" fontId="73" fillId="3" borderId="9" xfId="0" applyFont="1" applyFill="1" applyBorder="1" applyAlignment="1">
      <alignment vertical="center" wrapText="1"/>
    </xf>
    <xf numFmtId="3" fontId="39" fillId="3" borderId="9" xfId="0" applyNumberFormat="1" applyFont="1" applyFill="1" applyBorder="1" applyAlignment="1">
      <alignment horizontal="right" wrapText="1"/>
    </xf>
    <xf numFmtId="18" fontId="39" fillId="3" borderId="9" xfId="0" quotePrefix="1" applyNumberFormat="1" applyFont="1" applyFill="1" applyBorder="1" applyAlignment="1">
      <alignment horizontal="center" vertical="center" wrapText="1"/>
    </xf>
    <xf numFmtId="3" fontId="63" fillId="3" borderId="9" xfId="0" applyNumberFormat="1" applyFont="1" applyFill="1" applyBorder="1" applyAlignment="1">
      <alignment horizontal="right" vertical="center" wrapText="1"/>
    </xf>
    <xf numFmtId="0" fontId="73" fillId="3" borderId="11" xfId="0" applyFont="1" applyFill="1" applyBorder="1" applyAlignment="1">
      <alignment vertical="center" wrapText="1"/>
    </xf>
    <xf numFmtId="0" fontId="73" fillId="3" borderId="11" xfId="0" applyFont="1" applyFill="1" applyBorder="1" applyAlignment="1">
      <alignment wrapText="1"/>
    </xf>
    <xf numFmtId="3" fontId="40" fillId="3" borderId="11" xfId="0" applyNumberFormat="1" applyFont="1" applyFill="1" applyBorder="1" applyAlignment="1">
      <alignment horizontal="right" vertical="center" wrapText="1"/>
    </xf>
    <xf numFmtId="0" fontId="48" fillId="3" borderId="7" xfId="0" applyFont="1" applyFill="1" applyBorder="1" applyAlignment="1">
      <alignment horizontal="center" vertical="center" wrapText="1"/>
    </xf>
    <xf numFmtId="0" fontId="73" fillId="3" borderId="7" xfId="0" applyFont="1" applyFill="1" applyBorder="1" applyAlignment="1">
      <alignment vertical="center" wrapText="1"/>
    </xf>
    <xf numFmtId="164" fontId="21" fillId="3" borderId="7" xfId="0" applyNumberFormat="1" applyFont="1" applyFill="1" applyBorder="1" applyAlignment="1">
      <alignment horizontal="right" vertical="center" wrapText="1"/>
    </xf>
    <xf numFmtId="3" fontId="63" fillId="3" borderId="11" xfId="0" applyNumberFormat="1" applyFont="1" applyFill="1" applyBorder="1" applyAlignment="1">
      <alignment horizontal="right" vertical="center" wrapText="1"/>
    </xf>
    <xf numFmtId="164" fontId="21" fillId="3" borderId="10" xfId="0" applyNumberFormat="1" applyFont="1" applyFill="1" applyBorder="1" applyAlignment="1">
      <alignment horizontal="right" vertical="center" wrapText="1"/>
    </xf>
    <xf numFmtId="0" fontId="73" fillId="3" borderId="10" xfId="0" applyFont="1" applyFill="1" applyBorder="1" applyAlignment="1">
      <alignment vertical="center" wrapText="1"/>
    </xf>
    <xf numFmtId="3" fontId="39" fillId="3" borderId="10" xfId="0" applyNumberFormat="1" applyFont="1" applyFill="1" applyBorder="1" applyAlignment="1">
      <alignment horizontal="right" vertical="center" wrapText="1"/>
    </xf>
    <xf numFmtId="0" fontId="24" fillId="3" borderId="1" xfId="0" applyFont="1" applyFill="1" applyBorder="1" applyAlignment="1">
      <alignment vertical="center" wrapText="1"/>
    </xf>
    <xf numFmtId="0" fontId="5" fillId="3" borderId="9" xfId="0" applyFont="1" applyFill="1" applyBorder="1" applyAlignment="1">
      <alignment horizontal="right" vertical="center" wrapText="1"/>
    </xf>
    <xf numFmtId="3" fontId="5" fillId="3" borderId="9" xfId="0" applyNumberFormat="1" applyFont="1" applyFill="1" applyBorder="1" applyAlignment="1">
      <alignment horizontal="right" vertical="center" wrapText="1"/>
    </xf>
    <xf numFmtId="0" fontId="41" fillId="3" borderId="5" xfId="0" applyFont="1" applyFill="1" applyBorder="1" applyAlignment="1">
      <alignment horizontal="left" vertical="center"/>
    </xf>
    <xf numFmtId="0" fontId="78" fillId="3" borderId="1" xfId="0" applyFont="1" applyFill="1" applyBorder="1" applyAlignment="1">
      <alignment horizontal="center" vertical="center" wrapText="1"/>
    </xf>
    <xf numFmtId="0" fontId="78" fillId="3" borderId="4" xfId="0" applyFont="1" applyFill="1" applyBorder="1" applyAlignment="1">
      <alignment horizontal="center" vertical="center" wrapText="1"/>
    </xf>
    <xf numFmtId="0" fontId="5" fillId="3" borderId="11" xfId="0" applyFont="1" applyFill="1" applyBorder="1" applyAlignment="1">
      <alignment horizontal="right" vertical="center" wrapText="1"/>
    </xf>
    <xf numFmtId="0" fontId="40" fillId="3" borderId="4" xfId="0" applyFont="1" applyFill="1" applyBorder="1" applyAlignment="1">
      <alignment vertical="center" wrapText="1"/>
    </xf>
    <xf numFmtId="0" fontId="40" fillId="3" borderId="4" xfId="0" applyFont="1" applyFill="1" applyBorder="1" applyAlignment="1">
      <alignment horizontal="center" vertical="center" wrapText="1"/>
    </xf>
    <xf numFmtId="0" fontId="40" fillId="3" borderId="5" xfId="0" applyFont="1" applyFill="1" applyBorder="1" applyAlignment="1">
      <alignment vertical="center" wrapText="1"/>
    </xf>
    <xf numFmtId="164" fontId="0" fillId="0" borderId="0" xfId="0" applyNumberFormat="1" applyAlignment="1">
      <alignment horizontal="right" vertical="center"/>
    </xf>
    <xf numFmtId="0" fontId="0" fillId="3" borderId="5" xfId="0" applyFill="1" applyBorder="1" applyAlignment="1">
      <alignment vertical="center"/>
    </xf>
    <xf numFmtId="0" fontId="78" fillId="3" borderId="1" xfId="0" applyFont="1" applyFill="1" applyBorder="1" applyAlignment="1">
      <alignment horizontal="right" vertical="center" wrapText="1"/>
    </xf>
    <xf numFmtId="0" fontId="48" fillId="3" borderId="0" xfId="0" applyFont="1" applyFill="1" applyBorder="1" applyAlignment="1">
      <alignment vertical="center" wrapText="1"/>
    </xf>
    <xf numFmtId="49" fontId="0" fillId="0" borderId="0" xfId="0" applyNumberFormat="1" applyAlignment="1">
      <alignment vertical="center"/>
    </xf>
    <xf numFmtId="0" fontId="40" fillId="3" borderId="9" xfId="0" applyFont="1" applyFill="1" applyBorder="1" applyAlignment="1">
      <alignment vertical="center"/>
    </xf>
    <xf numFmtId="0" fontId="40" fillId="3" borderId="9" xfId="0" applyFont="1" applyFill="1" applyBorder="1" applyAlignment="1">
      <alignment horizontal="right" vertical="center" wrapText="1"/>
    </xf>
    <xf numFmtId="0" fontId="40" fillId="3" borderId="10" xfId="0" applyFont="1" applyFill="1" applyBorder="1" applyAlignment="1">
      <alignment horizontal="right" vertical="center" wrapText="1"/>
    </xf>
    <xf numFmtId="0" fontId="43" fillId="3" borderId="5" xfId="0" applyFont="1" applyFill="1" applyBorder="1" applyAlignment="1">
      <alignment horizontal="justify" vertical="center"/>
    </xf>
    <xf numFmtId="49" fontId="21" fillId="3" borderId="4" xfId="0" applyNumberFormat="1" applyFont="1" applyFill="1" applyBorder="1" applyAlignment="1">
      <alignment horizontal="right" vertical="center" wrapText="1"/>
    </xf>
    <xf numFmtId="0" fontId="70" fillId="3" borderId="0" xfId="0" applyFont="1" applyFill="1" applyBorder="1" applyAlignment="1">
      <alignment vertical="center" wrapText="1"/>
    </xf>
    <xf numFmtId="0" fontId="40" fillId="3" borderId="11" xfId="0" applyFont="1" applyFill="1" applyBorder="1" applyAlignment="1">
      <alignment horizontal="right" vertical="center" wrapText="1"/>
    </xf>
    <xf numFmtId="0" fontId="40" fillId="3" borderId="5" xfId="0" applyFont="1" applyFill="1" applyBorder="1" applyAlignment="1">
      <alignment horizontal="right" vertical="center" wrapText="1"/>
    </xf>
    <xf numFmtId="0" fontId="44" fillId="3" borderId="4" xfId="0" applyFont="1" applyFill="1" applyBorder="1" applyAlignment="1">
      <alignment vertical="center" wrapText="1"/>
    </xf>
    <xf numFmtId="164" fontId="58" fillId="0" borderId="0" xfId="0" applyNumberFormat="1" applyFont="1" applyAlignment="1">
      <alignment horizontal="right" vertical="center"/>
    </xf>
    <xf numFmtId="0" fontId="42" fillId="3" borderId="5" xfId="0" applyFont="1" applyFill="1" applyBorder="1" applyAlignment="1">
      <alignment horizontal="justify" vertical="center"/>
    </xf>
    <xf numFmtId="0" fontId="44" fillId="3" borderId="0" xfId="0" applyFont="1" applyFill="1" applyBorder="1" applyAlignment="1">
      <alignment horizontal="right" vertical="center" wrapText="1"/>
    </xf>
    <xf numFmtId="0" fontId="21" fillId="3" borderId="4" xfId="0" applyFont="1" applyFill="1" applyBorder="1" applyAlignment="1">
      <alignment horizontal="right" vertical="center" wrapText="1"/>
    </xf>
    <xf numFmtId="0" fontId="24" fillId="3" borderId="4" xfId="0" applyFont="1" applyFill="1" applyBorder="1" applyAlignment="1">
      <alignment horizontal="right" vertical="center" wrapText="1"/>
    </xf>
    <xf numFmtId="49" fontId="21" fillId="3" borderId="0" xfId="0" applyNumberFormat="1" applyFont="1" applyFill="1" applyBorder="1" applyAlignment="1">
      <alignment horizontal="left" vertical="center" wrapText="1"/>
    </xf>
    <xf numFmtId="0" fontId="24" fillId="3" borderId="1" xfId="0" applyFont="1" applyFill="1" applyBorder="1" applyAlignment="1">
      <alignment horizontal="left" vertical="center" wrapText="1"/>
    </xf>
    <xf numFmtId="9" fontId="24" fillId="3" borderId="1" xfId="0" applyNumberFormat="1" applyFont="1" applyFill="1" applyBorder="1" applyAlignment="1">
      <alignment horizontal="right" vertical="center" wrapText="1"/>
    </xf>
    <xf numFmtId="0" fontId="90" fillId="3" borderId="0" xfId="0" applyFont="1" applyFill="1" applyBorder="1" applyAlignment="1">
      <alignment vertical="center" wrapText="1"/>
    </xf>
    <xf numFmtId="0" fontId="39" fillId="3" borderId="9" xfId="0" quotePrefix="1" applyFont="1" applyFill="1" applyBorder="1" applyAlignment="1">
      <alignment vertical="center" wrapText="1"/>
    </xf>
    <xf numFmtId="0" fontId="26" fillId="3" borderId="5" xfId="0" applyFont="1" applyFill="1" applyBorder="1" applyAlignment="1">
      <alignment vertical="center"/>
    </xf>
    <xf numFmtId="0" fontId="40" fillId="3" borderId="9" xfId="0" quotePrefix="1" applyFont="1" applyFill="1" applyBorder="1" applyAlignment="1">
      <alignment vertical="center" wrapText="1"/>
    </xf>
    <xf numFmtId="0" fontId="40" fillId="3" borderId="11" xfId="0" applyFont="1" applyFill="1" applyBorder="1" applyAlignment="1">
      <alignment horizontal="right" wrapText="1"/>
    </xf>
    <xf numFmtId="0" fontId="21" fillId="3" borderId="7" xfId="0" applyFont="1" applyFill="1" applyBorder="1" applyAlignment="1">
      <alignment horizontal="right" vertical="center" wrapText="1"/>
    </xf>
    <xf numFmtId="0" fontId="77" fillId="0" borderId="0" xfId="0" applyFont="1" applyAlignment="1" applyProtection="1">
      <alignment vertical="center" wrapText="1"/>
    </xf>
    <xf numFmtId="3" fontId="81" fillId="3" borderId="0" xfId="0" applyNumberFormat="1" applyFont="1" applyFill="1" applyAlignment="1">
      <alignment vertical="center" wrapText="1"/>
    </xf>
    <xf numFmtId="3" fontId="39" fillId="3" borderId="0" xfId="0" applyNumberFormat="1" applyFont="1" applyFill="1" applyAlignment="1">
      <alignment horizontal="right" vertical="center" wrapText="1"/>
    </xf>
    <xf numFmtId="3" fontId="21" fillId="3" borderId="0" xfId="0" applyNumberFormat="1" applyFont="1" applyFill="1" applyAlignment="1">
      <alignment vertical="center" wrapText="1"/>
    </xf>
    <xf numFmtId="3" fontId="73" fillId="3" borderId="0" xfId="0" applyNumberFormat="1" applyFont="1" applyFill="1" applyAlignment="1">
      <alignment vertical="center" wrapText="1"/>
    </xf>
    <xf numFmtId="3" fontId="40" fillId="3" borderId="9" xfId="0" applyNumberFormat="1" applyFont="1" applyFill="1" applyBorder="1" applyAlignment="1">
      <alignment vertical="center" wrapText="1"/>
    </xf>
    <xf numFmtId="164" fontId="24" fillId="3" borderId="9" xfId="0" applyNumberFormat="1" applyFont="1" applyFill="1" applyBorder="1" applyAlignment="1">
      <alignment horizontal="right" vertical="center" wrapText="1"/>
    </xf>
    <xf numFmtId="3" fontId="24" fillId="3" borderId="9" xfId="0" applyNumberFormat="1" applyFont="1" applyFill="1" applyBorder="1" applyAlignment="1">
      <alignment vertical="center" wrapText="1"/>
    </xf>
    <xf numFmtId="3" fontId="60" fillId="3" borderId="0" xfId="0" applyNumberFormat="1" applyFont="1" applyFill="1" applyBorder="1" applyAlignment="1">
      <alignment vertical="center"/>
    </xf>
    <xf numFmtId="3" fontId="48" fillId="3" borderId="0" xfId="0" applyNumberFormat="1" applyFont="1" applyFill="1" applyBorder="1" applyAlignment="1">
      <alignment horizontal="right" vertical="center" wrapText="1"/>
    </xf>
    <xf numFmtId="3" fontId="46" fillId="3" borderId="0" xfId="0" applyNumberFormat="1" applyFont="1" applyFill="1" applyBorder="1" applyAlignment="1">
      <alignment horizontal="right" vertical="center"/>
    </xf>
    <xf numFmtId="164" fontId="24" fillId="3" borderId="9" xfId="0" applyNumberFormat="1" applyFont="1" applyFill="1" applyBorder="1" applyAlignment="1">
      <alignment horizontal="right" wrapText="1"/>
    </xf>
    <xf numFmtId="3" fontId="39" fillId="3" borderId="0" xfId="0" applyNumberFormat="1" applyFont="1" applyFill="1" applyBorder="1" applyAlignment="1">
      <alignment vertical="center" wrapText="1"/>
    </xf>
    <xf numFmtId="164" fontId="39" fillId="3" borderId="0" xfId="0" applyNumberFormat="1" applyFont="1" applyFill="1" applyBorder="1" applyAlignment="1">
      <alignment horizontal="right" vertical="center" wrapText="1"/>
    </xf>
    <xf numFmtId="164" fontId="24" fillId="3" borderId="0" xfId="0" applyNumberFormat="1" applyFont="1" applyFill="1" applyBorder="1" applyAlignment="1">
      <alignment horizontal="right" vertical="center" wrapText="1"/>
    </xf>
    <xf numFmtId="3" fontId="39" fillId="3" borderId="6" xfId="0" applyNumberFormat="1" applyFont="1" applyFill="1" applyBorder="1" applyAlignment="1">
      <alignment vertical="center" wrapText="1"/>
    </xf>
    <xf numFmtId="164" fontId="39" fillId="3" borderId="6" xfId="0" applyNumberFormat="1" applyFont="1" applyFill="1" applyBorder="1" applyAlignment="1">
      <alignment horizontal="right" vertical="center" wrapText="1"/>
    </xf>
    <xf numFmtId="164" fontId="24" fillId="3" borderId="6" xfId="0" applyNumberFormat="1" applyFont="1" applyFill="1" applyBorder="1" applyAlignment="1">
      <alignment horizontal="right" vertical="center" wrapText="1"/>
    </xf>
    <xf numFmtId="3" fontId="0" fillId="3" borderId="0" xfId="0" applyNumberFormat="1" applyFill="1" applyAlignment="1">
      <alignment horizontal="right" vertical="center"/>
    </xf>
    <xf numFmtId="3" fontId="74" fillId="3" borderId="0" xfId="0" applyNumberFormat="1" applyFont="1" applyFill="1" applyAlignment="1">
      <alignment vertical="center" wrapText="1"/>
    </xf>
    <xf numFmtId="164" fontId="24" fillId="3" borderId="10" xfId="0" applyNumberFormat="1" applyFont="1" applyFill="1" applyBorder="1" applyAlignment="1">
      <alignment horizontal="right" vertical="center" wrapText="1"/>
    </xf>
    <xf numFmtId="3" fontId="39" fillId="3" borderId="9" xfId="0" applyNumberFormat="1" applyFont="1" applyFill="1" applyBorder="1" applyAlignment="1">
      <alignment vertical="center" wrapText="1"/>
    </xf>
    <xf numFmtId="3" fontId="39" fillId="3" borderId="9" xfId="0" quotePrefix="1" applyNumberFormat="1" applyFont="1" applyFill="1" applyBorder="1" applyAlignment="1">
      <alignment horizontal="center" vertical="center" wrapText="1"/>
    </xf>
    <xf numFmtId="3" fontId="39" fillId="3" borderId="9" xfId="0" applyNumberFormat="1" applyFont="1" applyFill="1" applyBorder="1" applyAlignment="1">
      <alignment horizontal="center" vertical="center" wrapText="1"/>
    </xf>
    <xf numFmtId="3" fontId="21" fillId="3" borderId="6" xfId="0" applyNumberFormat="1" applyFont="1" applyFill="1" applyBorder="1" applyAlignment="1">
      <alignment vertical="center" wrapText="1"/>
    </xf>
    <xf numFmtId="3" fontId="40" fillId="3" borderId="9" xfId="0" applyNumberFormat="1" applyFont="1" applyFill="1" applyBorder="1" applyAlignment="1">
      <alignment horizontal="center" vertical="center" wrapText="1"/>
    </xf>
    <xf numFmtId="3" fontId="21" fillId="3" borderId="6" xfId="0" applyNumberFormat="1" applyFont="1" applyFill="1" applyBorder="1" applyAlignment="1">
      <alignment horizontal="right" vertical="center" wrapText="1"/>
    </xf>
    <xf numFmtId="3" fontId="30" fillId="3" borderId="0" xfId="0" applyNumberFormat="1" applyFont="1" applyFill="1" applyAlignment="1">
      <alignment vertical="center"/>
    </xf>
    <xf numFmtId="3" fontId="40" fillId="3" borderId="0" xfId="0" applyNumberFormat="1" applyFont="1" applyFill="1" applyAlignment="1">
      <alignment horizontal="justify" vertical="center"/>
    </xf>
    <xf numFmtId="3" fontId="21" fillId="4" borderId="6" xfId="0" applyNumberFormat="1" applyFont="1" applyFill="1" applyBorder="1" applyAlignment="1">
      <alignment vertical="center" wrapText="1"/>
    </xf>
    <xf numFmtId="3" fontId="21" fillId="3" borderId="0" xfId="0" applyNumberFormat="1" applyFont="1" applyFill="1" applyBorder="1" applyAlignment="1">
      <alignment horizontal="center" vertical="center" wrapText="1"/>
    </xf>
    <xf numFmtId="3" fontId="21" fillId="3" borderId="0" xfId="0" applyNumberFormat="1" applyFont="1" applyFill="1" applyBorder="1" applyAlignment="1">
      <alignment wrapText="1"/>
    </xf>
    <xf numFmtId="3" fontId="21" fillId="3" borderId="0" xfId="0" applyNumberFormat="1" applyFont="1" applyFill="1" applyBorder="1" applyAlignment="1">
      <alignment horizontal="right" wrapText="1"/>
    </xf>
    <xf numFmtId="3" fontId="5" fillId="3" borderId="9" xfId="0" applyNumberFormat="1" applyFont="1" applyFill="1" applyBorder="1" applyAlignment="1">
      <alignment vertical="center" wrapText="1"/>
    </xf>
    <xf numFmtId="164" fontId="39" fillId="3" borderId="10" xfId="0" applyNumberFormat="1" applyFont="1" applyFill="1" applyBorder="1" applyAlignment="1">
      <alignment horizontal="right" wrapText="1"/>
    </xf>
    <xf numFmtId="3" fontId="40" fillId="3" borderId="10" xfId="0" applyNumberFormat="1" applyFont="1" applyFill="1" applyBorder="1" applyAlignment="1">
      <alignment wrapText="1"/>
    </xf>
    <xf numFmtId="3" fontId="40" fillId="3" borderId="9" xfId="0" applyNumberFormat="1" applyFont="1" applyFill="1" applyBorder="1" applyAlignment="1">
      <alignment wrapText="1"/>
    </xf>
    <xf numFmtId="3" fontId="21" fillId="3" borderId="9" xfId="0" applyNumberFormat="1" applyFont="1" applyFill="1" applyBorder="1" applyAlignment="1">
      <alignment vertical="center" wrapText="1"/>
    </xf>
    <xf numFmtId="3" fontId="40" fillId="3" borderId="0" xfId="0" applyNumberFormat="1" applyFont="1" applyFill="1" applyAlignment="1">
      <alignment vertical="center" wrapText="1"/>
    </xf>
    <xf numFmtId="3" fontId="40" fillId="3" borderId="11" xfId="0" applyNumberFormat="1" applyFont="1" applyFill="1" applyBorder="1" applyAlignment="1">
      <alignment vertical="center" wrapText="1"/>
    </xf>
    <xf numFmtId="3" fontId="21" fillId="3" borderId="9" xfId="0" applyNumberFormat="1" applyFont="1" applyFill="1" applyBorder="1" applyAlignment="1">
      <alignment wrapText="1"/>
    </xf>
    <xf numFmtId="3" fontId="21" fillId="3" borderId="1" xfId="0" applyNumberFormat="1" applyFont="1" applyFill="1" applyBorder="1" applyAlignment="1">
      <alignment vertical="center" wrapText="1"/>
    </xf>
    <xf numFmtId="3" fontId="40" fillId="0" borderId="10" xfId="0" applyNumberFormat="1" applyFont="1" applyBorder="1" applyAlignment="1">
      <alignment horizontal="right" vertical="center" wrapText="1"/>
    </xf>
    <xf numFmtId="3" fontId="40" fillId="0" borderId="6" xfId="0" applyNumberFormat="1" applyFont="1" applyBorder="1" applyAlignment="1">
      <alignment horizontal="right" vertical="center" wrapText="1"/>
    </xf>
    <xf numFmtId="3" fontId="40" fillId="3" borderId="6" xfId="0" applyNumberFormat="1" applyFont="1" applyFill="1" applyBorder="1" applyAlignment="1">
      <alignment horizontal="right" vertical="center" wrapText="1"/>
    </xf>
    <xf numFmtId="3" fontId="40" fillId="3" borderId="0" xfId="0" applyNumberFormat="1" applyFont="1" applyFill="1" applyBorder="1" applyAlignment="1">
      <alignment horizontal="left" vertical="center" wrapText="1"/>
    </xf>
    <xf numFmtId="3" fontId="5" fillId="3" borderId="0" xfId="0" applyNumberFormat="1" applyFont="1" applyFill="1" applyBorder="1" applyAlignment="1">
      <alignment horizontal="left" vertical="center" wrapText="1"/>
    </xf>
    <xf numFmtId="3" fontId="40" fillId="3" borderId="9" xfId="0" applyNumberFormat="1" applyFont="1" applyFill="1" applyBorder="1" applyAlignment="1">
      <alignment horizontal="left" wrapText="1"/>
    </xf>
    <xf numFmtId="3" fontId="5" fillId="3" borderId="9" xfId="0" applyNumberFormat="1" applyFont="1" applyFill="1" applyBorder="1" applyAlignment="1">
      <alignment horizontal="left"/>
    </xf>
    <xf numFmtId="3" fontId="40" fillId="3" borderId="9" xfId="0" applyNumberFormat="1" applyFont="1" applyFill="1" applyBorder="1" applyAlignment="1">
      <alignment horizontal="left" vertical="center" wrapText="1"/>
    </xf>
    <xf numFmtId="3" fontId="40" fillId="3" borderId="9" xfId="0" applyNumberFormat="1" applyFont="1" applyFill="1" applyBorder="1" applyAlignment="1">
      <alignment horizontal="left" vertical="center"/>
    </xf>
    <xf numFmtId="3" fontId="5" fillId="3" borderId="9" xfId="0" applyNumberFormat="1" applyFont="1" applyFill="1" applyBorder="1" applyAlignment="1">
      <alignment horizontal="left" vertical="center"/>
    </xf>
    <xf numFmtId="3" fontId="49" fillId="3" borderId="0" xfId="0" applyNumberFormat="1" applyFont="1" applyFill="1" applyAlignment="1">
      <alignment vertical="center"/>
    </xf>
    <xf numFmtId="3" fontId="30" fillId="3" borderId="0" xfId="0" applyNumberFormat="1" applyFont="1" applyFill="1" applyBorder="1" applyAlignment="1">
      <alignment vertical="center"/>
    </xf>
    <xf numFmtId="3" fontId="40" fillId="3" borderId="0" xfId="0" applyNumberFormat="1" applyFont="1" applyFill="1" applyAlignment="1">
      <alignment horizontal="right" vertical="center" wrapText="1"/>
    </xf>
    <xf numFmtId="3" fontId="5" fillId="3" borderId="9" xfId="0" applyNumberFormat="1" applyFont="1" applyFill="1" applyBorder="1" applyAlignment="1">
      <alignment horizontal="left" vertical="center" wrapText="1"/>
    </xf>
    <xf numFmtId="3" fontId="39" fillId="3" borderId="0" xfId="0" applyNumberFormat="1" applyFont="1" applyFill="1" applyAlignment="1">
      <alignment horizontal="justify" vertical="center"/>
    </xf>
    <xf numFmtId="3" fontId="70" fillId="0" borderId="0" xfId="0" applyNumberFormat="1" applyFont="1" applyAlignment="1">
      <alignment horizontal="right" vertical="center"/>
    </xf>
    <xf numFmtId="3" fontId="24" fillId="3" borderId="6" xfId="0" applyNumberFormat="1" applyFont="1" applyFill="1" applyBorder="1" applyAlignment="1">
      <alignment vertical="center" wrapText="1"/>
    </xf>
    <xf numFmtId="3" fontId="70" fillId="0" borderId="0" xfId="0" applyNumberFormat="1" applyFont="1" applyAlignment="1">
      <alignment horizontal="right"/>
    </xf>
    <xf numFmtId="3" fontId="30" fillId="3" borderId="0" xfId="0" applyNumberFormat="1" applyFont="1" applyFill="1"/>
    <xf numFmtId="3" fontId="24" fillId="3" borderId="0" xfId="0" applyNumberFormat="1" applyFont="1" applyFill="1" applyBorder="1" applyAlignment="1">
      <alignment vertical="center" wrapText="1"/>
    </xf>
    <xf numFmtId="3" fontId="34" fillId="3" borderId="0" xfId="0" applyNumberFormat="1" applyFont="1" applyFill="1" applyAlignment="1">
      <alignment horizontal="justify"/>
    </xf>
    <xf numFmtId="3" fontId="0" fillId="3" borderId="0" xfId="0" applyNumberFormat="1" applyFill="1"/>
    <xf numFmtId="3" fontId="0" fillId="3" borderId="0" xfId="0" applyNumberFormat="1" applyFill="1" applyAlignment="1"/>
    <xf numFmtId="3" fontId="31" fillId="3" borderId="0" xfId="0" applyNumberFormat="1" applyFont="1" applyFill="1"/>
    <xf numFmtId="3" fontId="31" fillId="3" borderId="0" xfId="0" applyNumberFormat="1" applyFont="1" applyFill="1" applyAlignment="1"/>
    <xf numFmtId="3" fontId="35" fillId="3" borderId="1" xfId="0" applyNumberFormat="1" applyFont="1" applyFill="1" applyBorder="1" applyAlignment="1">
      <alignment horizontal="center" wrapText="1"/>
    </xf>
    <xf numFmtId="164" fontId="24" fillId="3" borderId="7" xfId="0" applyNumberFormat="1" applyFont="1" applyFill="1" applyBorder="1" applyAlignment="1">
      <alignment horizontal="right" vertical="center" wrapText="1"/>
    </xf>
    <xf numFmtId="3" fontId="36" fillId="3" borderId="0" xfId="0" applyNumberFormat="1" applyFont="1" applyFill="1" applyAlignment="1">
      <alignment horizontal="left"/>
    </xf>
    <xf numFmtId="3" fontId="10" fillId="0" borderId="0" xfId="0" applyNumberFormat="1" applyFont="1" applyAlignment="1">
      <alignment vertical="center"/>
    </xf>
    <xf numFmtId="3" fontId="28" fillId="0" borderId="5" xfId="0" applyNumberFormat="1" applyFont="1" applyBorder="1" applyAlignment="1">
      <alignment horizontal="justify"/>
    </xf>
    <xf numFmtId="3" fontId="28" fillId="0" borderId="5" xfId="0" applyNumberFormat="1" applyFont="1" applyBorder="1" applyAlignment="1">
      <alignment horizontal="justify" vertical="center"/>
    </xf>
    <xf numFmtId="164" fontId="24" fillId="3" borderId="1" xfId="0" applyNumberFormat="1" applyFont="1" applyFill="1" applyBorder="1" applyAlignment="1">
      <alignment horizontal="right" vertical="center" wrapText="1"/>
    </xf>
    <xf numFmtId="3" fontId="31" fillId="0" borderId="0" xfId="0" applyNumberFormat="1" applyFont="1" applyAlignment="1">
      <alignment horizontal="right"/>
    </xf>
    <xf numFmtId="0" fontId="44" fillId="3" borderId="1" xfId="0" applyFont="1" applyFill="1" applyBorder="1" applyAlignment="1">
      <alignment horizontal="right" vertical="center" wrapText="1"/>
    </xf>
    <xf numFmtId="164" fontId="46" fillId="3" borderId="0" xfId="0" applyNumberFormat="1" applyFont="1" applyFill="1" applyBorder="1" applyAlignment="1">
      <alignment horizontal="right" vertical="center" wrapText="1"/>
    </xf>
    <xf numFmtId="3" fontId="59" fillId="3" borderId="0" xfId="0" applyNumberFormat="1" applyFont="1" applyFill="1" applyAlignment="1">
      <alignment horizontal="justify" vertical="center"/>
    </xf>
    <xf numFmtId="3" fontId="31" fillId="3" borderId="0" xfId="0" applyNumberFormat="1" applyFont="1" applyFill="1" applyAlignment="1">
      <alignment vertical="center"/>
    </xf>
    <xf numFmtId="1" fontId="81" fillId="3" borderId="4" xfId="0" applyNumberFormat="1" applyFont="1" applyFill="1" applyBorder="1" applyAlignment="1">
      <alignment horizontal="right" vertical="center" wrapText="1"/>
    </xf>
    <xf numFmtId="3" fontId="59" fillId="3" borderId="0" xfId="0" applyNumberFormat="1" applyFont="1" applyFill="1" applyBorder="1" applyAlignment="1">
      <alignment horizontal="right" vertical="center" wrapText="1"/>
    </xf>
    <xf numFmtId="3" fontId="59" fillId="3" borderId="0" xfId="0" applyNumberFormat="1" applyFont="1" applyFill="1" applyBorder="1" applyAlignment="1">
      <alignment horizontal="justify" vertical="center"/>
    </xf>
    <xf numFmtId="3" fontId="59" fillId="3" borderId="0" xfId="0" applyNumberFormat="1" applyFont="1" applyFill="1" applyBorder="1" applyAlignment="1">
      <alignment vertical="center"/>
    </xf>
    <xf numFmtId="3" fontId="60" fillId="3" borderId="0" xfId="0" applyNumberFormat="1" applyFont="1" applyFill="1" applyAlignment="1">
      <alignment vertical="center" wrapText="1"/>
    </xf>
    <xf numFmtId="3" fontId="60" fillId="3" borderId="0" xfId="0" applyNumberFormat="1" applyFont="1" applyFill="1" applyBorder="1" applyAlignment="1">
      <alignment vertical="center" wrapText="1"/>
    </xf>
    <xf numFmtId="3" fontId="60" fillId="3" borderId="0" xfId="0" applyNumberFormat="1" applyFont="1" applyFill="1" applyBorder="1" applyAlignment="1">
      <alignment horizontal="right" vertical="center" wrapText="1"/>
    </xf>
    <xf numFmtId="0" fontId="4" fillId="3" borderId="1" xfId="0" applyFont="1" applyFill="1" applyBorder="1" applyAlignment="1">
      <alignment vertical="center" wrapText="1"/>
    </xf>
    <xf numFmtId="0" fontId="5" fillId="3" borderId="0" xfId="0" applyFont="1" applyFill="1" applyBorder="1" applyAlignment="1">
      <alignment vertical="center" wrapText="1"/>
    </xf>
    <xf numFmtId="0" fontId="39" fillId="3" borderId="0" xfId="0" applyFont="1" applyFill="1" applyAlignment="1">
      <alignment vertical="center" wrapText="1"/>
    </xf>
    <xf numFmtId="0" fontId="5" fillId="3" borderId="0" xfId="0" applyFont="1" applyFill="1" applyAlignment="1">
      <alignment vertical="center" wrapText="1"/>
    </xf>
    <xf numFmtId="0" fontId="72" fillId="3" borderId="0" xfId="0" applyFont="1" applyFill="1" applyAlignment="1">
      <alignment horizontal="justify" vertical="center"/>
    </xf>
    <xf numFmtId="0" fontId="0" fillId="3" borderId="0" xfId="0" applyFill="1"/>
    <xf numFmtId="0" fontId="27" fillId="3" borderId="0" xfId="0" applyFont="1" applyFill="1" applyAlignment="1">
      <alignment horizontal="justify" vertical="center"/>
    </xf>
    <xf numFmtId="0" fontId="27" fillId="3" borderId="0" xfId="0" applyFont="1" applyFill="1" applyAlignment="1">
      <alignment horizontal="justify"/>
    </xf>
    <xf numFmtId="0" fontId="70" fillId="3" borderId="0" xfId="0" applyFont="1" applyFill="1" applyAlignment="1">
      <alignment horizontal="justify" vertical="center"/>
    </xf>
    <xf numFmtId="0" fontId="70" fillId="3" borderId="0" xfId="0" applyFont="1" applyFill="1" applyAlignment="1">
      <alignment horizontal="justify" vertical="center" wrapText="1"/>
    </xf>
    <xf numFmtId="0" fontId="5" fillId="3" borderId="9" xfId="0" applyFont="1" applyFill="1" applyBorder="1" applyAlignment="1">
      <alignment vertical="center" wrapText="1"/>
    </xf>
    <xf numFmtId="0" fontId="4" fillId="3" borderId="10" xfId="0" applyFont="1" applyFill="1" applyBorder="1" applyAlignment="1">
      <alignment vertical="center" wrapText="1"/>
    </xf>
    <xf numFmtId="0" fontId="5" fillId="3" borderId="10" xfId="0" applyFont="1" applyFill="1" applyBorder="1" applyAlignment="1">
      <alignment vertical="center" wrapText="1"/>
    </xf>
    <xf numFmtId="3" fontId="59" fillId="3" borderId="1" xfId="0" applyNumberFormat="1" applyFont="1" applyFill="1" applyBorder="1" applyAlignment="1">
      <alignment horizontal="right" vertical="center" wrapText="1"/>
    </xf>
    <xf numFmtId="3" fontId="40" fillId="3" borderId="5" xfId="0" applyNumberFormat="1" applyFont="1" applyFill="1" applyBorder="1" applyAlignment="1">
      <alignment horizontal="right" vertical="center" wrapText="1"/>
    </xf>
    <xf numFmtId="3" fontId="33" fillId="0" borderId="5" xfId="0" applyNumberFormat="1" applyFont="1" applyBorder="1" applyAlignment="1">
      <alignment vertical="center"/>
    </xf>
    <xf numFmtId="3" fontId="37" fillId="3" borderId="0" xfId="0" applyNumberFormat="1" applyFont="1" applyFill="1" applyBorder="1" applyAlignment="1">
      <alignment horizontal="left" vertical="center" wrapText="1"/>
    </xf>
    <xf numFmtId="3" fontId="20" fillId="3" borderId="0" xfId="0" applyNumberFormat="1" applyFont="1" applyFill="1" applyAlignment="1">
      <alignment vertical="center"/>
    </xf>
    <xf numFmtId="0" fontId="27" fillId="3" borderId="5" xfId="0" applyFont="1" applyFill="1" applyBorder="1" applyAlignment="1">
      <alignment horizontal="justify" vertical="center"/>
    </xf>
    <xf numFmtId="0" fontId="27" fillId="3" borderId="5" xfId="0" applyFont="1" applyFill="1" applyBorder="1" applyAlignment="1">
      <alignment horizontal="justify"/>
    </xf>
    <xf numFmtId="3" fontId="40" fillId="3" borderId="5" xfId="0" applyNumberFormat="1" applyFont="1" applyFill="1" applyBorder="1" applyAlignment="1">
      <alignment horizontal="justify" vertical="center"/>
    </xf>
    <xf numFmtId="3" fontId="59" fillId="3" borderId="5" xfId="0" applyNumberFormat="1" applyFont="1" applyFill="1" applyBorder="1" applyAlignment="1">
      <alignment horizontal="right" vertical="center" wrapText="1"/>
    </xf>
    <xf numFmtId="0" fontId="10" fillId="3" borderId="0" xfId="0" applyFont="1" applyFill="1" applyAlignment="1">
      <alignment horizontal="justify" vertical="center"/>
    </xf>
    <xf numFmtId="0" fontId="10" fillId="3" borderId="0" xfId="0" applyFont="1" applyFill="1" applyAlignment="1">
      <alignment horizontal="justify"/>
    </xf>
    <xf numFmtId="3" fontId="81" fillId="0" borderId="0" xfId="0" applyNumberFormat="1" applyFont="1" applyAlignment="1">
      <alignment vertical="center"/>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0" xfId="0" applyFont="1" applyFill="1" applyBorder="1" applyAlignment="1">
      <alignment vertical="center" wrapText="1"/>
    </xf>
    <xf numFmtId="3" fontId="24" fillId="3" borderId="0" xfId="0" applyNumberFormat="1" applyFont="1" applyFill="1" applyBorder="1" applyAlignment="1">
      <alignment horizontal="right" vertical="center" wrapText="1"/>
    </xf>
    <xf numFmtId="0" fontId="31" fillId="0" borderId="0" xfId="0" applyFont="1" applyAlignment="1">
      <alignment vertical="top" wrapText="1"/>
    </xf>
    <xf numFmtId="9" fontId="40" fillId="0" borderId="11" xfId="0" applyNumberFormat="1" applyFont="1" applyBorder="1" applyAlignment="1">
      <alignment horizontal="right" vertical="center" wrapText="1"/>
    </xf>
    <xf numFmtId="0" fontId="30" fillId="3" borderId="0" xfId="0" applyFont="1" applyFill="1" applyAlignment="1">
      <alignment vertical="center"/>
    </xf>
    <xf numFmtId="0" fontId="40" fillId="3" borderId="0" xfId="0" applyFont="1" applyFill="1" applyAlignment="1">
      <alignment horizontal="justify" vertical="center"/>
    </xf>
    <xf numFmtId="0" fontId="28" fillId="3" borderId="0" xfId="0" applyFont="1" applyFill="1" applyAlignment="1">
      <alignment horizontal="justify" vertical="center"/>
    </xf>
    <xf numFmtId="0" fontId="77" fillId="3" borderId="0" xfId="0" applyFont="1" applyFill="1" applyAlignment="1"/>
    <xf numFmtId="14" fontId="21" fillId="3" borderId="4" xfId="0" applyNumberFormat="1" applyFont="1" applyFill="1" applyBorder="1" applyAlignment="1">
      <alignment horizontal="right" vertical="center" wrapText="1"/>
    </xf>
    <xf numFmtId="0" fontId="28" fillId="3" borderId="5" xfId="0" applyFont="1" applyFill="1" applyBorder="1" applyAlignment="1">
      <alignment horizontal="justify"/>
    </xf>
    <xf numFmtId="0" fontId="28" fillId="3" borderId="5" xfId="0" applyFont="1" applyFill="1" applyBorder="1" applyAlignment="1">
      <alignment horizontal="justify" vertical="center"/>
    </xf>
    <xf numFmtId="0" fontId="51" fillId="0" borderId="5" xfId="0" applyFont="1" applyBorder="1" applyAlignment="1">
      <alignment vertical="center"/>
    </xf>
    <xf numFmtId="0" fontId="47" fillId="3" borderId="0" xfId="0" applyFont="1" applyFill="1" applyAlignment="1">
      <alignment vertical="center"/>
    </xf>
    <xf numFmtId="0" fontId="51" fillId="3" borderId="0" xfId="0" applyFont="1" applyFill="1" applyAlignment="1">
      <alignment vertical="center"/>
    </xf>
    <xf numFmtId="0" fontId="32" fillId="3" borderId="0" xfId="0" applyFont="1" applyFill="1" applyAlignment="1">
      <alignment vertical="center"/>
    </xf>
    <xf numFmtId="0" fontId="55" fillId="3" borderId="0" xfId="0" applyFont="1" applyFill="1" applyAlignment="1">
      <alignment horizontal="justify" vertical="center"/>
    </xf>
    <xf numFmtId="0" fontId="9" fillId="3" borderId="0" xfId="0" applyFont="1" applyFill="1" applyAlignment="1" applyProtection="1">
      <alignment vertical="center"/>
    </xf>
    <xf numFmtId="0" fontId="5" fillId="3" borderId="0" xfId="0" applyFont="1" applyFill="1" applyBorder="1" applyAlignment="1">
      <alignment horizontal="right" vertical="center" wrapText="1"/>
    </xf>
    <xf numFmtId="0" fontId="5" fillId="3" borderId="0" xfId="0" applyFont="1" applyFill="1" applyAlignment="1">
      <alignment horizontal="left" vertical="center" wrapText="1"/>
    </xf>
    <xf numFmtId="0" fontId="29" fillId="3" borderId="0" xfId="0" applyFont="1" applyFill="1" applyAlignment="1">
      <alignment horizontal="left" vertical="center"/>
    </xf>
    <xf numFmtId="0" fontId="28" fillId="3" borderId="0" xfId="0" applyFont="1" applyFill="1" applyAlignment="1">
      <alignment vertical="center" wrapText="1"/>
    </xf>
    <xf numFmtId="0" fontId="28" fillId="3" borderId="0" xfId="0" applyFont="1" applyFill="1" applyAlignment="1">
      <alignment horizontal="left" vertical="center" wrapText="1"/>
    </xf>
    <xf numFmtId="0" fontId="40" fillId="3" borderId="9" xfId="0" applyFont="1" applyFill="1" applyBorder="1" applyAlignment="1">
      <alignment horizontal="left" vertical="center" wrapText="1"/>
    </xf>
    <xf numFmtId="0" fontId="5" fillId="3" borderId="0" xfId="0" applyFont="1" applyFill="1" applyAlignment="1">
      <alignment horizontal="left" wrapText="1"/>
    </xf>
    <xf numFmtId="0" fontId="5" fillId="3" borderId="0" xfId="0" applyFont="1" applyFill="1" applyAlignment="1">
      <alignment horizontal="left"/>
    </xf>
    <xf numFmtId="0" fontId="65" fillId="3" borderId="0" xfId="0" applyFont="1" applyFill="1" applyAlignment="1">
      <alignment horizontal="left" vertical="center"/>
    </xf>
    <xf numFmtId="0" fontId="28" fillId="3" borderId="0" xfId="0" applyFont="1" applyFill="1" applyAlignment="1">
      <alignment vertical="center"/>
    </xf>
    <xf numFmtId="0" fontId="28" fillId="3" borderId="0" xfId="0" applyFont="1" applyFill="1" applyAlignment="1">
      <alignment horizontal="left" vertical="center"/>
    </xf>
    <xf numFmtId="0" fontId="66" fillId="3" borderId="0" xfId="0" applyFont="1" applyFill="1" applyAlignment="1">
      <alignment vertical="center"/>
    </xf>
    <xf numFmtId="0" fontId="67" fillId="3" borderId="0" xfId="0" applyFont="1" applyFill="1" applyAlignment="1">
      <alignment horizontal="left" vertical="center"/>
    </xf>
    <xf numFmtId="0" fontId="24" fillId="3" borderId="0" xfId="0" applyFont="1" applyFill="1" applyAlignment="1">
      <alignment vertical="center" wrapText="1"/>
    </xf>
    <xf numFmtId="0" fontId="40" fillId="3" borderId="0" xfId="0" applyFont="1" applyFill="1" applyAlignment="1">
      <alignment horizontal="left" vertical="center"/>
    </xf>
    <xf numFmtId="0" fontId="31" fillId="3" borderId="0" xfId="0" applyFont="1" applyFill="1" applyAlignment="1">
      <alignment vertical="center"/>
    </xf>
    <xf numFmtId="0" fontId="40" fillId="3" borderId="9" xfId="0" applyFont="1" applyFill="1" applyBorder="1" applyAlignment="1">
      <alignment horizontal="justify" vertical="center" wrapText="1"/>
    </xf>
    <xf numFmtId="0" fontId="68" fillId="3" borderId="0" xfId="0" applyFont="1" applyFill="1" applyAlignment="1">
      <alignment horizontal="left" vertical="center"/>
    </xf>
    <xf numFmtId="0" fontId="51" fillId="3" borderId="0" xfId="0" applyFont="1" applyFill="1" applyAlignment="1">
      <alignment horizontal="left" vertical="center"/>
    </xf>
    <xf numFmtId="0" fontId="22" fillId="3" borderId="0" xfId="0" applyFont="1" applyFill="1" applyAlignment="1">
      <alignment horizontal="left" vertical="center"/>
    </xf>
    <xf numFmtId="0" fontId="20" fillId="3" borderId="0" xfId="0" applyFont="1" applyFill="1" applyAlignment="1">
      <alignment vertical="center"/>
    </xf>
    <xf numFmtId="0" fontId="21" fillId="3" borderId="6" xfId="0" applyFont="1" applyFill="1" applyBorder="1" applyAlignment="1">
      <alignment vertical="center" wrapText="1"/>
    </xf>
    <xf numFmtId="0" fontId="40" fillId="3" borderId="6" xfId="0" applyFont="1" applyFill="1" applyBorder="1" applyAlignment="1">
      <alignment vertical="center" wrapText="1"/>
    </xf>
    <xf numFmtId="0" fontId="51" fillId="3" borderId="0" xfId="0" applyFont="1" applyFill="1" applyAlignment="1">
      <alignment vertical="center" wrapText="1"/>
    </xf>
    <xf numFmtId="0" fontId="29" fillId="3" borderId="0" xfId="0" applyFont="1" applyFill="1" applyAlignment="1">
      <alignment vertical="center"/>
    </xf>
    <xf numFmtId="0" fontId="59" fillId="3" borderId="0" xfId="0" applyFont="1" applyFill="1" applyAlignment="1">
      <alignment horizontal="justify" vertical="center"/>
    </xf>
    <xf numFmtId="0" fontId="24" fillId="3" borderId="1" xfId="0" applyFont="1" applyFill="1" applyBorder="1" applyAlignment="1">
      <alignment horizontal="right" vertical="center" wrapText="1"/>
    </xf>
    <xf numFmtId="0" fontId="21" fillId="3" borderId="1" xfId="0" applyFont="1" applyFill="1" applyBorder="1" applyAlignment="1">
      <alignment horizontal="right" vertical="center" wrapText="1"/>
    </xf>
    <xf numFmtId="0" fontId="40" fillId="3" borderId="0" xfId="0" applyFont="1" applyFill="1" applyBorder="1" applyAlignment="1">
      <alignment horizontal="center" vertical="center" wrapText="1"/>
    </xf>
    <xf numFmtId="0" fontId="40" fillId="3" borderId="10" xfId="0" applyFont="1" applyFill="1" applyBorder="1" applyAlignment="1">
      <alignment horizontal="center" wrapText="1"/>
    </xf>
    <xf numFmtId="3" fontId="39" fillId="3" borderId="10" xfId="0" applyNumberFormat="1" applyFont="1" applyFill="1" applyBorder="1" applyAlignment="1">
      <alignment horizontal="right" wrapText="1"/>
    </xf>
    <xf numFmtId="164" fontId="24" fillId="3" borderId="10" xfId="0" applyNumberFormat="1" applyFont="1" applyFill="1" applyBorder="1" applyAlignment="1">
      <alignment horizontal="right" wrapText="1"/>
    </xf>
    <xf numFmtId="0" fontId="40" fillId="3" borderId="9" xfId="0" applyFont="1" applyFill="1" applyBorder="1" applyAlignment="1">
      <alignment horizontal="center" wrapText="1"/>
    </xf>
    <xf numFmtId="0" fontId="39" fillId="3" borderId="0" xfId="0" applyFont="1" applyFill="1" applyAlignment="1">
      <alignment horizontal="left" vertical="center"/>
    </xf>
    <xf numFmtId="0" fontId="83" fillId="3" borderId="0" xfId="0" applyFont="1" applyFill="1" applyAlignment="1">
      <alignment vertical="center" wrapText="1"/>
    </xf>
    <xf numFmtId="0" fontId="23" fillId="3" borderId="0" xfId="0" applyFont="1" applyFill="1" applyAlignment="1">
      <alignment horizontal="justify" vertical="center"/>
    </xf>
    <xf numFmtId="0" fontId="26" fillId="3" borderId="0" xfId="0" applyFont="1" applyFill="1" applyAlignment="1">
      <alignment vertical="center"/>
    </xf>
    <xf numFmtId="0" fontId="11" fillId="3" borderId="0" xfId="0" applyFont="1" applyFill="1" applyAlignment="1">
      <alignment horizontal="justify" vertical="center"/>
    </xf>
    <xf numFmtId="0" fontId="11" fillId="3" borderId="0" xfId="0" applyFont="1" applyFill="1" applyAlignment="1">
      <alignment horizontal="justify"/>
    </xf>
    <xf numFmtId="0" fontId="60" fillId="3" borderId="0" xfId="0" applyFont="1" applyFill="1" applyAlignment="1">
      <alignment horizontal="left" vertical="center"/>
    </xf>
    <xf numFmtId="0" fontId="21" fillId="3" borderId="0" xfId="0" applyFont="1" applyFill="1" applyAlignment="1">
      <alignment vertical="center" wrapText="1"/>
    </xf>
    <xf numFmtId="0" fontId="21" fillId="3" borderId="0" xfId="0" applyFont="1" applyFill="1" applyAlignment="1">
      <alignment horizontal="right" vertical="center" wrapText="1"/>
    </xf>
    <xf numFmtId="0" fontId="61" fillId="3" borderId="0" xfId="0" applyFont="1" applyFill="1" applyAlignment="1">
      <alignment horizontal="justify" vertical="center"/>
    </xf>
    <xf numFmtId="0" fontId="10" fillId="3" borderId="0" xfId="0" applyFont="1" applyFill="1" applyAlignment="1">
      <alignment horizontal="left" vertical="center" wrapText="1"/>
    </xf>
    <xf numFmtId="0" fontId="43" fillId="3" borderId="0" xfId="0" applyFont="1" applyFill="1" applyAlignment="1">
      <alignment horizontal="right" vertical="center"/>
    </xf>
    <xf numFmtId="0" fontId="10" fillId="3" borderId="0" xfId="0" applyFont="1" applyFill="1" applyAlignment="1">
      <alignment horizontal="left" wrapText="1"/>
    </xf>
    <xf numFmtId="0" fontId="23" fillId="3" borderId="0" xfId="0" applyFont="1" applyFill="1" applyAlignment="1">
      <alignment vertical="center" wrapText="1"/>
    </xf>
    <xf numFmtId="0" fontId="23" fillId="3" borderId="0" xfId="0" applyFont="1" applyFill="1" applyAlignment="1">
      <alignment vertical="center"/>
    </xf>
    <xf numFmtId="0" fontId="21" fillId="3" borderId="5" xfId="0" applyFont="1" applyFill="1" applyBorder="1" applyAlignment="1">
      <alignment horizontal="right" vertical="center" wrapText="1"/>
    </xf>
    <xf numFmtId="0" fontId="63" fillId="3" borderId="0" xfId="0" applyFont="1" applyFill="1" applyAlignment="1">
      <alignment vertical="center" wrapText="1"/>
    </xf>
    <xf numFmtId="0" fontId="63" fillId="3" borderId="0" xfId="0" applyFont="1" applyFill="1" applyAlignment="1">
      <alignment horizontal="center" vertical="center" wrapText="1"/>
    </xf>
    <xf numFmtId="0" fontId="43" fillId="3" borderId="0" xfId="0" applyFont="1" applyFill="1" applyAlignment="1">
      <alignment vertical="center"/>
    </xf>
    <xf numFmtId="0" fontId="43" fillId="3" borderId="0" xfId="0" applyFont="1" applyFill="1" applyAlignment="1">
      <alignment horizontal="left" vertical="center"/>
    </xf>
    <xf numFmtId="0" fontId="48" fillId="3" borderId="0" xfId="0" applyFont="1" applyFill="1" applyBorder="1" applyAlignment="1">
      <alignment horizontal="left" vertical="center" wrapText="1"/>
    </xf>
    <xf numFmtId="0" fontId="64" fillId="3" borderId="0" xfId="0" applyFont="1" applyFill="1" applyAlignment="1">
      <alignment horizontal="justify" vertical="center"/>
    </xf>
    <xf numFmtId="0" fontId="10" fillId="3" borderId="0" xfId="0" applyFont="1" applyFill="1" applyAlignment="1">
      <alignment vertical="center" wrapText="1"/>
    </xf>
    <xf numFmtId="49" fontId="40" fillId="3" borderId="0" xfId="0" applyNumberFormat="1" applyFont="1" applyFill="1" applyBorder="1" applyAlignment="1">
      <alignment horizontal="center" vertical="center" wrapText="1"/>
    </xf>
    <xf numFmtId="49" fontId="40" fillId="3" borderId="9" xfId="0" applyNumberFormat="1" applyFont="1" applyFill="1" applyBorder="1" applyAlignment="1">
      <alignment horizontal="center" vertical="center" wrapText="1"/>
    </xf>
    <xf numFmtId="0" fontId="21" fillId="3" borderId="9" xfId="0" applyFont="1" applyFill="1" applyBorder="1" applyAlignment="1">
      <alignment horizontal="center" vertical="center" wrapText="1"/>
    </xf>
    <xf numFmtId="0" fontId="10" fillId="3" borderId="0" xfId="0" applyFont="1" applyFill="1" applyAlignment="1">
      <alignment horizontal="justify" vertical="center" wrapText="1"/>
    </xf>
    <xf numFmtId="0" fontId="21" fillId="3" borderId="9" xfId="0" applyFont="1" applyFill="1" applyBorder="1" applyAlignment="1">
      <alignment horizontal="justify" vertical="center" wrapText="1"/>
    </xf>
    <xf numFmtId="0" fontId="10" fillId="3" borderId="0" xfId="0" applyFont="1" applyFill="1" applyAlignment="1">
      <alignment horizontal="justify" vertical="top"/>
    </xf>
    <xf numFmtId="0" fontId="24" fillId="3" borderId="5" xfId="0" applyFont="1" applyFill="1" applyBorder="1" applyAlignment="1">
      <alignment horizontal="right" vertical="center" wrapText="1"/>
    </xf>
    <xf numFmtId="0" fontId="0" fillId="3" borderId="4" xfId="0" applyFill="1" applyBorder="1" applyAlignment="1">
      <alignment vertical="center"/>
    </xf>
    <xf numFmtId="0" fontId="29" fillId="3" borderId="5" xfId="0" applyFont="1" applyFill="1" applyBorder="1" applyAlignment="1">
      <alignment vertical="center"/>
    </xf>
    <xf numFmtId="0" fontId="38" fillId="3" borderId="0" xfId="0" applyFont="1" applyFill="1" applyBorder="1" applyAlignment="1">
      <alignment horizontal="right" vertical="center" wrapText="1"/>
    </xf>
    <xf numFmtId="0" fontId="39" fillId="3" borderId="0" xfId="0" applyFont="1" applyFill="1" applyAlignment="1">
      <alignment horizontal="justify" vertical="center"/>
    </xf>
    <xf numFmtId="0" fontId="60" fillId="3" borderId="0" xfId="0" applyFont="1" applyFill="1" applyAlignment="1">
      <alignment vertical="center"/>
    </xf>
    <xf numFmtId="0" fontId="60" fillId="3" borderId="0" xfId="0" applyFont="1" applyFill="1" applyAlignment="1">
      <alignment horizontal="justify" vertical="center"/>
    </xf>
    <xf numFmtId="0" fontId="23" fillId="3" borderId="4" xfId="0" applyFont="1" applyFill="1" applyBorder="1" applyAlignment="1">
      <alignment vertical="center"/>
    </xf>
    <xf numFmtId="0" fontId="23" fillId="3" borderId="5" xfId="0" applyFont="1" applyFill="1" applyBorder="1" applyAlignment="1">
      <alignment vertical="center" wrapText="1"/>
    </xf>
    <xf numFmtId="0" fontId="40" fillId="3" borderId="10" xfId="0" applyFont="1" applyFill="1" applyBorder="1" applyAlignment="1">
      <alignment wrapText="1"/>
    </xf>
    <xf numFmtId="0" fontId="23" fillId="3" borderId="5" xfId="0" applyFont="1" applyFill="1" applyBorder="1" applyAlignment="1">
      <alignment vertical="center"/>
    </xf>
    <xf numFmtId="0" fontId="10" fillId="3" borderId="5" xfId="0" applyFont="1" applyFill="1" applyBorder="1" applyAlignment="1">
      <alignment vertical="center" wrapText="1"/>
    </xf>
    <xf numFmtId="0" fontId="10" fillId="3" borderId="5" xfId="0" applyFont="1" applyFill="1" applyBorder="1" applyAlignment="1">
      <alignment horizontal="justify" vertical="center"/>
    </xf>
    <xf numFmtId="0" fontId="0" fillId="3" borderId="0" xfId="0" applyFill="1" applyAlignment="1">
      <alignment horizontal="right" vertical="center"/>
    </xf>
    <xf numFmtId="0" fontId="75" fillId="3" borderId="0" xfId="0" applyFont="1" applyFill="1" applyAlignment="1"/>
    <xf numFmtId="49" fontId="75" fillId="3" borderId="0" xfId="0" applyNumberFormat="1" applyFont="1" applyFill="1" applyAlignment="1"/>
    <xf numFmtId="49" fontId="51" fillId="3" borderId="0" xfId="0" applyNumberFormat="1" applyFont="1" applyFill="1" applyAlignment="1">
      <alignment vertical="center"/>
    </xf>
    <xf numFmtId="49" fontId="27" fillId="3" borderId="0" xfId="0" applyNumberFormat="1" applyFont="1" applyFill="1" applyAlignment="1">
      <alignment vertical="center" wrapText="1"/>
    </xf>
    <xf numFmtId="49" fontId="27" fillId="3" borderId="0" xfId="0" applyNumberFormat="1" applyFont="1" applyFill="1" applyAlignment="1">
      <alignment horizontal="justify" vertical="center"/>
    </xf>
    <xf numFmtId="0" fontId="27" fillId="3" borderId="0" xfId="0" applyFont="1" applyFill="1" applyAlignment="1">
      <alignment vertical="center"/>
    </xf>
    <xf numFmtId="49" fontId="39" fillId="3" borderId="0" xfId="0" applyNumberFormat="1" applyFont="1" applyFill="1" applyBorder="1" applyAlignment="1">
      <alignment horizontal="justify" vertical="center" wrapText="1"/>
    </xf>
    <xf numFmtId="0" fontId="39" fillId="3" borderId="0" xfId="0" applyFont="1" applyFill="1" applyBorder="1" applyAlignment="1">
      <alignment horizontal="justify" vertical="center" wrapText="1"/>
    </xf>
    <xf numFmtId="49" fontId="24" fillId="3" borderId="0" xfId="0" applyNumberFormat="1" applyFont="1" applyFill="1" applyBorder="1" applyAlignment="1">
      <alignment vertical="center" wrapText="1"/>
    </xf>
    <xf numFmtId="49" fontId="21" fillId="3" borderId="0" xfId="0" applyNumberFormat="1" applyFont="1" applyFill="1" applyBorder="1" applyAlignment="1">
      <alignment vertical="center" wrapText="1"/>
    </xf>
    <xf numFmtId="14" fontId="39" fillId="3" borderId="7" xfId="0" applyNumberFormat="1" applyFont="1" applyFill="1" applyBorder="1" applyAlignment="1">
      <alignment horizontal="center" vertical="center" wrapText="1"/>
    </xf>
    <xf numFmtId="14" fontId="39" fillId="3" borderId="6" xfId="0" applyNumberFormat="1" applyFont="1" applyFill="1" applyBorder="1" applyAlignment="1">
      <alignment horizontal="center" vertical="center" wrapText="1"/>
    </xf>
    <xf numFmtId="0" fontId="39" fillId="3" borderId="6" xfId="0" applyFont="1" applyFill="1" applyBorder="1" applyAlignment="1">
      <alignment horizontal="right" vertical="center" wrapText="1"/>
    </xf>
    <xf numFmtId="49" fontId="46" fillId="3" borderId="7" xfId="0" applyNumberFormat="1" applyFont="1" applyFill="1" applyBorder="1" applyAlignment="1">
      <alignment horizontal="left" vertical="center" wrapText="1"/>
    </xf>
    <xf numFmtId="0" fontId="39" fillId="3" borderId="10" xfId="0" applyFont="1" applyFill="1" applyBorder="1" applyAlignment="1">
      <alignment horizontal="right" vertical="center" wrapText="1"/>
    </xf>
    <xf numFmtId="49" fontId="75" fillId="3" borderId="0" xfId="0" applyNumberFormat="1" applyFont="1" applyFill="1" applyBorder="1" applyAlignment="1"/>
    <xf numFmtId="49" fontId="27" fillId="3" borderId="0" xfId="0" applyNumberFormat="1" applyFont="1" applyFill="1" applyAlignment="1">
      <alignment wrapText="1"/>
    </xf>
    <xf numFmtId="49" fontId="27" fillId="3" borderId="0" xfId="0" applyNumberFormat="1" applyFont="1" applyFill="1" applyAlignment="1">
      <alignment horizontal="justify"/>
    </xf>
    <xf numFmtId="0" fontId="24" fillId="3" borderId="0" xfId="0" applyFont="1" applyFill="1" applyBorder="1" applyAlignment="1">
      <alignment horizontal="justify" vertical="center" wrapText="1"/>
    </xf>
    <xf numFmtId="49" fontId="46" fillId="3" borderId="1" xfId="0" applyNumberFormat="1" applyFont="1" applyFill="1" applyBorder="1" applyAlignment="1">
      <alignment vertical="center" wrapText="1"/>
    </xf>
    <xf numFmtId="0" fontId="46" fillId="3" borderId="1" xfId="0" applyFont="1" applyFill="1" applyBorder="1" applyAlignment="1">
      <alignment vertical="center" wrapText="1"/>
    </xf>
    <xf numFmtId="0" fontId="39" fillId="3" borderId="1" xfId="0" applyFont="1" applyFill="1" applyBorder="1" applyAlignment="1">
      <alignment horizontal="right" vertical="center" wrapText="1"/>
    </xf>
    <xf numFmtId="49" fontId="24" fillId="3" borderId="5" xfId="0" applyNumberFormat="1" applyFont="1" applyFill="1" applyBorder="1" applyAlignment="1">
      <alignment vertical="center" wrapText="1"/>
    </xf>
    <xf numFmtId="0" fontId="24" fillId="3" borderId="5" xfId="0" applyFont="1" applyFill="1" applyBorder="1" applyAlignment="1">
      <alignment vertical="center" wrapText="1"/>
    </xf>
    <xf numFmtId="0" fontId="39" fillId="3" borderId="5" xfId="0" applyFont="1" applyFill="1" applyBorder="1" applyAlignment="1">
      <alignment horizontal="justify" vertical="center" wrapText="1"/>
    </xf>
    <xf numFmtId="0" fontId="24" fillId="3" borderId="5" xfId="0" applyFont="1" applyFill="1" applyBorder="1" applyAlignment="1">
      <alignment horizontal="justify" vertical="center" wrapText="1"/>
    </xf>
    <xf numFmtId="0" fontId="75" fillId="3" borderId="0" xfId="0" applyFont="1" applyFill="1" applyBorder="1" applyAlignment="1"/>
    <xf numFmtId="49" fontId="24" fillId="3" borderId="0" xfId="0" applyNumberFormat="1" applyFont="1" applyFill="1" applyBorder="1" applyAlignment="1">
      <alignment horizontal="left" vertical="center" wrapText="1"/>
    </xf>
    <xf numFmtId="49" fontId="39" fillId="3" borderId="9" xfId="0" applyNumberFormat="1" applyFont="1" applyFill="1" applyBorder="1" applyAlignment="1">
      <alignment horizontal="left" vertical="center" wrapText="1" indent="2"/>
    </xf>
    <xf numFmtId="49" fontId="24" fillId="3" borderId="0" xfId="0" applyNumberFormat="1" applyFont="1" applyFill="1" applyBorder="1" applyAlignment="1">
      <alignment horizontal="justify" vertical="center" wrapText="1"/>
    </xf>
    <xf numFmtId="49" fontId="46" fillId="3" borderId="0" xfId="0" applyNumberFormat="1" applyFont="1" applyFill="1" applyBorder="1" applyAlignment="1">
      <alignment horizontal="left" vertical="center" wrapText="1"/>
    </xf>
    <xf numFmtId="49" fontId="75" fillId="3" borderId="5" xfId="0" applyNumberFormat="1" applyFont="1" applyFill="1" applyBorder="1" applyAlignment="1"/>
    <xf numFmtId="0" fontId="75" fillId="3" borderId="5" xfId="0" applyFont="1" applyFill="1" applyBorder="1" applyAlignment="1"/>
    <xf numFmtId="0" fontId="69" fillId="3" borderId="0" xfId="0" applyFont="1" applyFill="1" applyAlignment="1">
      <alignment vertical="center"/>
    </xf>
    <xf numFmtId="0" fontId="35" fillId="3" borderId="0" xfId="0" applyFont="1" applyFill="1" applyAlignment="1">
      <alignment horizontal="left" vertical="center" wrapText="1"/>
    </xf>
    <xf numFmtId="0" fontId="40" fillId="3" borderId="6" xfId="0" applyFont="1" applyFill="1" applyBorder="1" applyAlignment="1">
      <alignment horizontal="right" vertical="center" wrapText="1"/>
    </xf>
    <xf numFmtId="165" fontId="40" fillId="3" borderId="6" xfId="0" applyNumberFormat="1" applyFont="1" applyFill="1" applyBorder="1" applyAlignment="1">
      <alignment horizontal="right" vertical="center" wrapText="1"/>
    </xf>
    <xf numFmtId="164" fontId="40" fillId="3" borderId="6" xfId="0" applyNumberFormat="1" applyFont="1" applyFill="1" applyBorder="1" applyAlignment="1">
      <alignment horizontal="right" vertical="center" wrapText="1"/>
    </xf>
    <xf numFmtId="0" fontId="71" fillId="3" borderId="0" xfId="0" applyFont="1" applyFill="1" applyAlignment="1">
      <alignment vertical="center"/>
    </xf>
    <xf numFmtId="0" fontId="72" fillId="3" borderId="0" xfId="0" applyFont="1" applyFill="1" applyAlignment="1">
      <alignment vertical="center"/>
    </xf>
    <xf numFmtId="0" fontId="11" fillId="3" borderId="0" xfId="0" applyFont="1" applyFill="1" applyAlignment="1">
      <alignment horizontal="left" vertical="center" wrapText="1"/>
    </xf>
    <xf numFmtId="0" fontId="62" fillId="3" borderId="0" xfId="0" applyFont="1" applyFill="1" applyAlignment="1">
      <alignment vertical="center" wrapText="1"/>
    </xf>
    <xf numFmtId="0" fontId="40" fillId="3" borderId="0" xfId="0" applyFont="1" applyFill="1" applyAlignment="1">
      <alignment vertical="center"/>
    </xf>
    <xf numFmtId="0" fontId="70" fillId="3" borderId="4" xfId="0" applyFont="1" applyFill="1" applyBorder="1" applyAlignment="1">
      <alignment horizontal="justify" vertical="center"/>
    </xf>
    <xf numFmtId="0" fontId="0" fillId="3" borderId="4" xfId="0" applyFill="1" applyBorder="1"/>
    <xf numFmtId="0" fontId="59" fillId="3" borderId="0" xfId="0" applyFont="1" applyFill="1" applyBorder="1" applyAlignment="1">
      <alignment horizontal="justify" vertical="center"/>
    </xf>
    <xf numFmtId="0" fontId="21" fillId="0" borderId="0" xfId="0" applyFont="1" applyAlignment="1">
      <alignment vertical="center"/>
    </xf>
    <xf numFmtId="3" fontId="51" fillId="6" borderId="0" xfId="0" applyNumberFormat="1" applyFont="1" applyFill="1" applyAlignment="1">
      <alignment vertical="center"/>
    </xf>
    <xf numFmtId="0" fontId="21" fillId="3" borderId="4" xfId="0" applyFont="1" applyFill="1" applyBorder="1" applyAlignment="1">
      <alignment horizontal="center" vertical="center" wrapText="1"/>
    </xf>
    <xf numFmtId="164" fontId="0" fillId="3" borderId="0" xfId="0" applyNumberFormat="1" applyFill="1" applyAlignment="1">
      <alignment vertical="center"/>
    </xf>
    <xf numFmtId="0" fontId="40" fillId="3" borderId="11" xfId="0" applyFont="1" applyFill="1" applyBorder="1" applyAlignment="1">
      <alignment wrapText="1"/>
    </xf>
    <xf numFmtId="164" fontId="17" fillId="3" borderId="0" xfId="0" applyNumberFormat="1" applyFont="1" applyFill="1" applyBorder="1" applyAlignment="1">
      <alignment horizontal="right" vertical="center" wrapText="1"/>
    </xf>
    <xf numFmtId="3" fontId="0" fillId="3" borderId="0" xfId="0" applyNumberFormat="1" applyFill="1" applyAlignment="1">
      <alignment vertical="center" wrapText="1"/>
    </xf>
    <xf numFmtId="0" fontId="40" fillId="0" borderId="0" xfId="0" applyFont="1" applyBorder="1" applyAlignment="1">
      <alignment vertical="center"/>
    </xf>
    <xf numFmtId="0" fontId="40" fillId="0" borderId="0" xfId="0" applyFont="1" applyAlignment="1">
      <alignment vertical="center"/>
    </xf>
    <xf numFmtId="0" fontId="40" fillId="0" borderId="0" xfId="0" applyFont="1" applyAlignment="1">
      <alignment vertical="center" wrapText="1"/>
    </xf>
    <xf numFmtId="3" fontId="40" fillId="0" borderId="0" xfId="0" applyNumberFormat="1" applyFont="1" applyBorder="1" applyAlignment="1">
      <alignment horizontal="right" vertical="center" wrapText="1"/>
    </xf>
    <xf numFmtId="3" fontId="40" fillId="4" borderId="0" xfId="0" applyNumberFormat="1" applyFont="1" applyFill="1" applyBorder="1" applyAlignment="1">
      <alignment horizontal="right" vertical="center" wrapText="1"/>
    </xf>
    <xf numFmtId="14" fontId="21" fillId="3" borderId="1" xfId="0" applyNumberFormat="1" applyFont="1" applyFill="1" applyBorder="1" applyAlignment="1">
      <alignment horizontal="center" vertical="center" wrapText="1"/>
    </xf>
    <xf numFmtId="0" fontId="79" fillId="0" borderId="0" xfId="0" applyFont="1" applyAlignment="1">
      <alignment horizontal="right" vertical="center" wrapText="1"/>
    </xf>
    <xf numFmtId="0" fontId="21" fillId="0" borderId="0" xfId="0" applyFont="1" applyBorder="1" applyAlignment="1">
      <alignment vertical="center" wrapText="1"/>
    </xf>
    <xf numFmtId="170" fontId="39" fillId="0" borderId="9" xfId="0" applyNumberFormat="1" applyFont="1" applyFill="1" applyBorder="1" applyAlignment="1">
      <alignment horizontal="right" vertical="center" wrapText="1"/>
    </xf>
    <xf numFmtId="164" fontId="40" fillId="0" borderId="9" xfId="0" applyNumberFormat="1" applyFont="1" applyFill="1" applyBorder="1" applyAlignment="1">
      <alignment horizontal="right" vertical="center" wrapText="1"/>
    </xf>
    <xf numFmtId="0" fontId="21" fillId="0" borderId="9" xfId="0" applyFont="1" applyBorder="1" applyAlignment="1">
      <alignment vertical="center" wrapText="1"/>
    </xf>
    <xf numFmtId="164" fontId="21" fillId="0" borderId="9" xfId="0" applyNumberFormat="1" applyFont="1" applyBorder="1" applyAlignment="1">
      <alignment horizontal="right" vertical="center" wrapText="1"/>
    </xf>
    <xf numFmtId="164" fontId="40" fillId="0" borderId="9" xfId="0" applyNumberFormat="1" applyFont="1" applyBorder="1" applyAlignment="1">
      <alignment horizontal="right" vertical="center" wrapText="1"/>
    </xf>
    <xf numFmtId="164" fontId="39" fillId="0" borderId="9" xfId="0" applyNumberFormat="1" applyFont="1" applyBorder="1" applyAlignment="1">
      <alignment horizontal="right" vertical="center" wrapText="1"/>
    </xf>
    <xf numFmtId="164" fontId="24" fillId="0" borderId="9" xfId="0" applyNumberFormat="1" applyFont="1" applyBorder="1" applyAlignment="1">
      <alignment horizontal="right" vertical="center" wrapText="1"/>
    </xf>
    <xf numFmtId="170" fontId="39" fillId="0" borderId="9" xfId="0" applyNumberFormat="1" applyFont="1" applyBorder="1" applyAlignment="1">
      <alignment horizontal="right" vertical="center" wrapText="1"/>
    </xf>
    <xf numFmtId="0" fontId="87" fillId="0" borderId="0" xfId="0" applyFont="1" applyBorder="1" applyAlignment="1">
      <alignment vertical="center" wrapText="1"/>
    </xf>
    <xf numFmtId="164" fontId="48" fillId="0" borderId="0" xfId="0" applyNumberFormat="1" applyFont="1" applyBorder="1" applyAlignment="1">
      <alignment horizontal="right" vertical="center" wrapText="1"/>
    </xf>
    <xf numFmtId="164" fontId="87" fillId="0" borderId="0" xfId="0" applyNumberFormat="1" applyFont="1" applyBorder="1" applyAlignment="1">
      <alignment horizontal="right" vertical="center" wrapText="1"/>
    </xf>
    <xf numFmtId="164" fontId="40" fillId="0" borderId="0" xfId="0" applyNumberFormat="1" applyFont="1" applyAlignment="1">
      <alignment horizontal="right" vertical="center" wrapText="1"/>
    </xf>
    <xf numFmtId="164" fontId="79" fillId="0" borderId="0" xfId="0" applyNumberFormat="1" applyFont="1" applyAlignment="1">
      <alignment horizontal="right" vertical="center" wrapText="1"/>
    </xf>
    <xf numFmtId="0" fontId="4" fillId="0" borderId="0" xfId="0" applyFont="1" applyAlignment="1">
      <alignment vertical="center"/>
    </xf>
    <xf numFmtId="0" fontId="40" fillId="0" borderId="0" xfId="0" applyFont="1"/>
    <xf numFmtId="164" fontId="40" fillId="0" borderId="0" xfId="0" applyNumberFormat="1" applyFont="1" applyAlignment="1">
      <alignment vertical="center"/>
    </xf>
    <xf numFmtId="164" fontId="40" fillId="0" borderId="0" xfId="0" applyNumberFormat="1" applyFont="1" applyBorder="1" applyAlignment="1">
      <alignment vertical="center"/>
    </xf>
    <xf numFmtId="4" fontId="40" fillId="0" borderId="0" xfId="0" applyNumberFormat="1" applyFont="1"/>
    <xf numFmtId="164" fontId="40" fillId="0" borderId="0" xfId="0" applyNumberFormat="1" applyFont="1"/>
    <xf numFmtId="3" fontId="21" fillId="3" borderId="1" xfId="0" applyNumberFormat="1" applyFont="1" applyFill="1" applyBorder="1" applyAlignment="1">
      <alignment horizontal="center" vertical="center" wrapText="1"/>
    </xf>
    <xf numFmtId="3" fontId="21" fillId="3" borderId="4" xfId="0" applyNumberFormat="1" applyFont="1" applyFill="1" applyBorder="1" applyAlignment="1">
      <alignment horizontal="center" vertical="center" wrapText="1"/>
    </xf>
    <xf numFmtId="3" fontId="21" fillId="3" borderId="4" xfId="0" applyNumberFormat="1" applyFont="1" applyFill="1" applyBorder="1" applyAlignment="1">
      <alignment vertical="center" wrapText="1"/>
    </xf>
    <xf numFmtId="0" fontId="4" fillId="0" borderId="0" xfId="1" applyFont="1" applyBorder="1" applyAlignment="1">
      <alignment vertical="center" wrapText="1"/>
    </xf>
    <xf numFmtId="164" fontId="40" fillId="0" borderId="10" xfId="0" applyNumberFormat="1" applyFont="1" applyBorder="1" applyAlignment="1">
      <alignment vertical="center"/>
    </xf>
    <xf numFmtId="164" fontId="21" fillId="0" borderId="10" xfId="0" applyNumberFormat="1" applyFont="1" applyBorder="1" applyAlignment="1">
      <alignment horizontal="right" vertical="center" wrapText="1"/>
    </xf>
    <xf numFmtId="0" fontId="40" fillId="2" borderId="0" xfId="0" applyFont="1" applyFill="1" applyAlignment="1">
      <alignment vertical="center" wrapText="1"/>
    </xf>
    <xf numFmtId="0" fontId="79" fillId="2" borderId="0" xfId="0" applyFont="1" applyFill="1" applyAlignment="1">
      <alignment horizontal="right" vertical="center" wrapText="1"/>
    </xf>
    <xf numFmtId="0" fontId="24" fillId="2" borderId="0" xfId="0" applyFont="1" applyFill="1" applyAlignment="1">
      <alignment vertical="center" wrapText="1"/>
    </xf>
    <xf numFmtId="0" fontId="39" fillId="2" borderId="0" xfId="0" applyFont="1" applyFill="1" applyAlignment="1">
      <alignment horizontal="right" vertical="center" wrapText="1"/>
    </xf>
    <xf numFmtId="0" fontId="39" fillId="2" borderId="0" xfId="0" applyFont="1" applyFill="1" applyAlignment="1">
      <alignment vertical="center" wrapText="1"/>
    </xf>
    <xf numFmtId="0" fontId="21" fillId="0" borderId="0" xfId="0" applyFont="1" applyAlignment="1">
      <alignment horizontal="justify" vertical="center"/>
    </xf>
    <xf numFmtId="0" fontId="40" fillId="0" borderId="0" xfId="0" applyFont="1" applyAlignment="1">
      <alignment horizontal="justify" vertical="center"/>
    </xf>
    <xf numFmtId="0" fontId="39" fillId="2" borderId="5" xfId="0" applyFont="1" applyFill="1" applyBorder="1" applyAlignment="1">
      <alignment vertical="center" wrapText="1"/>
    </xf>
    <xf numFmtId="0" fontId="40" fillId="2" borderId="0" xfId="0" applyFont="1" applyFill="1" applyBorder="1" applyAlignment="1">
      <alignment vertical="center" wrapText="1"/>
    </xf>
    <xf numFmtId="0" fontId="24" fillId="2" borderId="0" xfId="0" applyFont="1" applyFill="1" applyBorder="1" applyAlignment="1">
      <alignment vertical="center" wrapText="1"/>
    </xf>
    <xf numFmtId="3" fontId="24" fillId="7"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wrapText="1"/>
    </xf>
    <xf numFmtId="3" fontId="21" fillId="3" borderId="5" xfId="0" applyNumberFormat="1" applyFont="1" applyFill="1" applyBorder="1" applyAlignment="1">
      <alignment horizontal="center" vertical="center" wrapText="1"/>
    </xf>
    <xf numFmtId="0" fontId="24" fillId="2" borderId="10" xfId="0" applyFont="1" applyFill="1" applyBorder="1" applyAlignment="1">
      <alignment vertical="center" wrapText="1"/>
    </xf>
    <xf numFmtId="0" fontId="21" fillId="2" borderId="10" xfId="0" applyFont="1" applyFill="1" applyBorder="1" applyAlignment="1">
      <alignment vertical="center" wrapText="1"/>
    </xf>
    <xf numFmtId="0" fontId="44" fillId="3" borderId="5" xfId="0" applyFont="1" applyFill="1" applyBorder="1" applyAlignment="1">
      <alignment horizontal="center" vertical="center" wrapText="1"/>
    </xf>
    <xf numFmtId="0" fontId="40" fillId="0" borderId="0" xfId="0" applyFont="1" applyAlignment="1">
      <alignment vertical="center"/>
    </xf>
    <xf numFmtId="3" fontId="40" fillId="0" borderId="0" xfId="0" applyNumberFormat="1" applyFont="1" applyBorder="1" applyAlignment="1">
      <alignment horizontal="right" vertical="center" wrapText="1"/>
    </xf>
    <xf numFmtId="3" fontId="51" fillId="5" borderId="0" xfId="0" applyNumberFormat="1" applyFont="1" applyFill="1" applyAlignment="1">
      <alignment vertical="center"/>
    </xf>
    <xf numFmtId="0" fontId="63" fillId="2" borderId="0" xfId="0" applyFont="1" applyFill="1" applyBorder="1" applyAlignment="1">
      <alignment vertical="center" wrapText="1"/>
    </xf>
    <xf numFmtId="0" fontId="40" fillId="0" borderId="0" xfId="0" applyFont="1" applyFill="1" applyAlignment="1">
      <alignment horizontal="justify" vertical="center"/>
    </xf>
    <xf numFmtId="0" fontId="39" fillId="2" borderId="0" xfId="0" applyFont="1" applyFill="1" applyAlignment="1">
      <alignment horizontal="center" vertical="center" wrapText="1"/>
    </xf>
    <xf numFmtId="3" fontId="40" fillId="3" borderId="11" xfId="0" applyNumberFormat="1" applyFont="1" applyFill="1" applyBorder="1" applyAlignment="1">
      <alignment horizontal="center" vertical="center" wrapText="1"/>
    </xf>
    <xf numFmtId="0" fontId="21" fillId="3" borderId="0" xfId="0" applyFont="1" applyFill="1" applyBorder="1" applyAlignment="1">
      <alignment vertical="center" wrapText="1"/>
    </xf>
    <xf numFmtId="3" fontId="24" fillId="3" borderId="5" xfId="0" applyNumberFormat="1" applyFont="1" applyFill="1" applyBorder="1" applyAlignment="1">
      <alignment horizontal="right" vertical="center" wrapText="1"/>
    </xf>
    <xf numFmtId="0" fontId="21" fillId="3" borderId="1" xfId="0" applyFont="1" applyFill="1" applyBorder="1" applyAlignment="1">
      <alignment vertical="center" wrapText="1"/>
    </xf>
    <xf numFmtId="164" fontId="98" fillId="0" borderId="10" xfId="0" applyNumberFormat="1" applyFont="1" applyFill="1" applyBorder="1" applyAlignment="1">
      <alignment horizontal="right" vertical="center" wrapText="1"/>
    </xf>
    <xf numFmtId="3" fontId="51" fillId="0" borderId="0" xfId="0" applyNumberFormat="1" applyFont="1" applyFill="1" applyAlignment="1">
      <alignment horizontal="left"/>
    </xf>
    <xf numFmtId="3" fontId="101" fillId="0" borderId="0" xfId="0" applyNumberFormat="1" applyFont="1" applyAlignment="1">
      <alignment horizontal="right" vertical="center"/>
    </xf>
    <xf numFmtId="3" fontId="101" fillId="0" borderId="0" xfId="0" applyNumberFormat="1" applyFont="1" applyFill="1" applyAlignment="1">
      <alignment horizontal="right" vertical="center"/>
    </xf>
    <xf numFmtId="3" fontId="101" fillId="0" borderId="0" xfId="0" applyNumberFormat="1" applyFont="1" applyAlignment="1">
      <alignment horizontal="right"/>
    </xf>
    <xf numFmtId="164" fontId="40" fillId="3" borderId="10" xfId="0" applyNumberFormat="1" applyFont="1" applyFill="1" applyBorder="1" applyAlignment="1">
      <alignment vertical="center" wrapText="1"/>
    </xf>
    <xf numFmtId="164" fontId="21" fillId="3" borderId="10" xfId="0" applyNumberFormat="1" applyFont="1" applyFill="1" applyBorder="1" applyAlignment="1">
      <alignment vertical="center" wrapText="1"/>
    </xf>
    <xf numFmtId="164" fontId="98" fillId="2" borderId="0" xfId="0" applyNumberFormat="1" applyFont="1" applyFill="1" applyBorder="1" applyAlignment="1">
      <alignment horizontal="right" vertical="center" wrapText="1"/>
    </xf>
    <xf numFmtId="164" fontId="98" fillId="3" borderId="0" xfId="0" applyNumberFormat="1" applyFont="1" applyFill="1" applyAlignment="1">
      <alignment horizontal="right" vertical="center" wrapText="1"/>
    </xf>
    <xf numFmtId="164" fontId="40" fillId="3" borderId="10" xfId="0" applyNumberFormat="1" applyFont="1" applyFill="1" applyBorder="1" applyAlignment="1">
      <alignment horizontal="right" wrapText="1"/>
    </xf>
    <xf numFmtId="164" fontId="5" fillId="3" borderId="10" xfId="0" applyNumberFormat="1" applyFont="1" applyFill="1" applyBorder="1" applyAlignment="1">
      <alignment horizontal="right" wrapText="1"/>
    </xf>
    <xf numFmtId="164" fontId="21" fillId="3" borderId="4" xfId="0" applyNumberFormat="1" applyFont="1" applyFill="1" applyBorder="1" applyAlignment="1">
      <alignment horizontal="right" vertical="center" wrapText="1"/>
    </xf>
    <xf numFmtId="171" fontId="39" fillId="0" borderId="9" xfId="0" applyNumberFormat="1" applyFont="1" applyFill="1" applyBorder="1" applyAlignment="1">
      <alignment horizontal="right" vertical="center" wrapText="1"/>
    </xf>
    <xf numFmtId="3" fontId="102" fillId="0" borderId="0" xfId="0" applyNumberFormat="1" applyFont="1" applyAlignment="1">
      <alignment horizontal="right" vertical="center"/>
    </xf>
    <xf numFmtId="14" fontId="21" fillId="3" borderId="7" xfId="0" applyNumberFormat="1" applyFont="1" applyFill="1" applyBorder="1" applyAlignment="1">
      <alignment horizontal="center" vertical="center" wrapText="1"/>
    </xf>
    <xf numFmtId="3" fontId="21" fillId="3" borderId="7" xfId="0" applyNumberFormat="1" applyFont="1" applyFill="1" applyBorder="1" applyAlignment="1">
      <alignment horizontal="center" vertical="center" wrapText="1"/>
    </xf>
    <xf numFmtId="171" fontId="39" fillId="0" borderId="9" xfId="0" applyNumberFormat="1" applyFont="1" applyBorder="1" applyAlignment="1">
      <alignment horizontal="right" vertical="center" wrapText="1"/>
    </xf>
    <xf numFmtId="171" fontId="24" fillId="0" borderId="6" xfId="0" applyNumberFormat="1" applyFont="1" applyFill="1" applyBorder="1" applyAlignment="1">
      <alignment horizontal="right" vertical="center" wrapText="1"/>
    </xf>
    <xf numFmtId="0" fontId="39" fillId="0" borderId="0" xfId="0" applyFont="1" applyAlignment="1">
      <alignment vertical="center" wrapText="1"/>
    </xf>
    <xf numFmtId="3" fontId="102" fillId="0" borderId="0" xfId="0" applyNumberFormat="1" applyFont="1" applyAlignment="1">
      <alignment horizontal="right"/>
    </xf>
    <xf numFmtId="0" fontId="30" fillId="3" borderId="0" xfId="0" applyFont="1" applyFill="1" applyAlignment="1"/>
    <xf numFmtId="164" fontId="40" fillId="3" borderId="0" xfId="0" applyNumberFormat="1" applyFont="1" applyFill="1" applyBorder="1" applyAlignment="1">
      <alignment horizontal="right" wrapText="1"/>
    </xf>
    <xf numFmtId="0" fontId="30" fillId="3" borderId="0" xfId="0" applyFont="1" applyFill="1" applyBorder="1" applyAlignment="1"/>
    <xf numFmtId="0" fontId="60" fillId="3" borderId="0" xfId="0" applyFont="1" applyFill="1" applyBorder="1" applyAlignment="1"/>
    <xf numFmtId="0" fontId="40" fillId="3" borderId="0" xfId="0" applyFont="1" applyFill="1" applyBorder="1" applyAlignment="1">
      <alignment horizontal="right" wrapText="1"/>
    </xf>
    <xf numFmtId="0" fontId="60" fillId="3" borderId="0" xfId="0" applyFont="1" applyFill="1" applyAlignment="1"/>
    <xf numFmtId="0" fontId="60" fillId="3" borderId="0" xfId="0" applyFont="1" applyFill="1" applyBorder="1" applyAlignment="1">
      <alignment vertical="center"/>
    </xf>
    <xf numFmtId="0" fontId="21" fillId="3" borderId="4" xfId="0" applyFont="1" applyFill="1" applyBorder="1" applyAlignment="1">
      <alignment horizontal="center" vertical="center" wrapText="1"/>
    </xf>
    <xf numFmtId="0" fontId="21" fillId="3" borderId="0" xfId="0" applyFont="1" applyFill="1" applyBorder="1" applyAlignment="1">
      <alignment vertical="center" wrapText="1"/>
    </xf>
    <xf numFmtId="3" fontId="40" fillId="3" borderId="11" xfId="0" applyNumberFormat="1" applyFont="1" applyFill="1" applyBorder="1" applyAlignment="1">
      <alignment horizontal="left" vertical="center" wrapText="1"/>
    </xf>
    <xf numFmtId="0" fontId="40" fillId="3" borderId="11" xfId="0" applyFont="1" applyFill="1" applyBorder="1" applyAlignment="1">
      <alignment horizontal="left" vertical="center" wrapText="1"/>
    </xf>
    <xf numFmtId="0" fontId="21" fillId="3" borderId="0" xfId="0" applyFont="1" applyFill="1" applyBorder="1" applyAlignment="1">
      <alignment vertical="center" wrapText="1"/>
    </xf>
    <xf numFmtId="0" fontId="21" fillId="3" borderId="1" xfId="0" applyFont="1" applyFill="1" applyBorder="1" applyAlignment="1">
      <alignment vertical="center" wrapText="1"/>
    </xf>
    <xf numFmtId="164" fontId="5" fillId="3" borderId="0" xfId="0" applyNumberFormat="1" applyFont="1" applyFill="1" applyBorder="1" applyAlignment="1">
      <alignment horizontal="right" wrapText="1"/>
    </xf>
    <xf numFmtId="164" fontId="4" fillId="3" borderId="5" xfId="0" applyNumberFormat="1" applyFont="1" applyFill="1" applyBorder="1" applyAlignment="1">
      <alignment horizontal="right" wrapText="1"/>
    </xf>
    <xf numFmtId="164" fontId="40" fillId="3" borderId="11" xfId="0" applyNumberFormat="1" applyFont="1" applyFill="1" applyBorder="1" applyAlignment="1">
      <alignment horizontal="right" wrapText="1"/>
    </xf>
    <xf numFmtId="164" fontId="21" fillId="3" borderId="4" xfId="0" applyNumberFormat="1" applyFont="1" applyFill="1" applyBorder="1" applyAlignment="1">
      <alignment horizontal="right" wrapText="1"/>
    </xf>
    <xf numFmtId="3" fontId="21" fillId="3" borderId="1" xfId="0" applyNumberFormat="1" applyFont="1" applyFill="1" applyBorder="1" applyAlignment="1">
      <alignment horizontal="right" wrapText="1"/>
    </xf>
    <xf numFmtId="164" fontId="40" fillId="3" borderId="6" xfId="0" applyNumberFormat="1" applyFont="1" applyFill="1" applyBorder="1" applyAlignment="1">
      <alignment horizontal="right" wrapText="1"/>
    </xf>
    <xf numFmtId="0" fontId="40" fillId="3" borderId="4" xfId="0" applyFont="1" applyFill="1" applyBorder="1" applyAlignment="1">
      <alignment wrapText="1"/>
    </xf>
    <xf numFmtId="164" fontId="24" fillId="3" borderId="4" xfId="0" applyNumberFormat="1" applyFont="1" applyFill="1" applyBorder="1" applyAlignment="1">
      <alignment horizontal="right" vertical="center" wrapText="1"/>
    </xf>
    <xf numFmtId="0" fontId="74" fillId="0" borderId="9" xfId="0" applyFont="1" applyFill="1" applyBorder="1" applyAlignment="1">
      <alignment vertical="center" wrapText="1"/>
    </xf>
    <xf numFmtId="0" fontId="74" fillId="0" borderId="9" xfId="0" applyFont="1" applyFill="1" applyBorder="1" applyAlignment="1">
      <alignment horizontal="left" vertical="center" wrapText="1"/>
    </xf>
    <xf numFmtId="3" fontId="51" fillId="0" borderId="0" xfId="0" applyNumberFormat="1" applyFont="1" applyFill="1" applyAlignment="1">
      <alignment vertical="center" wrapText="1"/>
    </xf>
    <xf numFmtId="3" fontId="30" fillId="0" borderId="0" xfId="0" applyNumberFormat="1" applyFont="1" applyAlignment="1"/>
    <xf numFmtId="0" fontId="0" fillId="0" borderId="1" xfId="0" applyBorder="1"/>
    <xf numFmtId="3" fontId="94" fillId="0" borderId="0" xfId="0" applyNumberFormat="1" applyFont="1" applyAlignment="1">
      <alignment vertical="center"/>
    </xf>
    <xf numFmtId="0" fontId="27" fillId="0" borderId="0" xfId="0" applyFont="1" applyAlignment="1">
      <alignment horizontal="left" vertical="center"/>
    </xf>
    <xf numFmtId="0" fontId="103" fillId="0" borderId="0" xfId="0" applyFont="1" applyAlignment="1">
      <alignment horizontal="left" vertical="center" wrapText="1"/>
    </xf>
    <xf numFmtId="0" fontId="87" fillId="0" borderId="0" xfId="0" applyFont="1" applyAlignment="1">
      <alignment vertical="center" wrapText="1"/>
    </xf>
    <xf numFmtId="0" fontId="79" fillId="0" borderId="0" xfId="0" applyFont="1" applyBorder="1" applyAlignment="1">
      <alignment horizontal="right" vertical="center" wrapText="1"/>
    </xf>
    <xf numFmtId="164" fontId="40" fillId="0" borderId="0" xfId="0" applyNumberFormat="1" applyFont="1" applyBorder="1" applyAlignment="1">
      <alignment horizontal="right" vertical="center" wrapText="1"/>
    </xf>
    <xf numFmtId="0" fontId="73" fillId="0" borderId="0" xfId="0" applyFont="1" applyAlignment="1">
      <alignment vertical="center" wrapText="1"/>
    </xf>
    <xf numFmtId="164" fontId="73" fillId="0" borderId="0" xfId="0" applyNumberFormat="1" applyFont="1" applyAlignment="1">
      <alignment vertical="center" wrapText="1"/>
    </xf>
    <xf numFmtId="0" fontId="40" fillId="0" borderId="0" xfId="0" applyFont="1" applyFill="1" applyBorder="1" applyAlignment="1">
      <alignment vertical="center" wrapText="1"/>
    </xf>
    <xf numFmtId="0" fontId="40" fillId="0" borderId="1" xfId="0" applyFont="1" applyFill="1" applyBorder="1" applyAlignment="1">
      <alignment vertical="center" wrapText="1"/>
    </xf>
    <xf numFmtId="14" fontId="21" fillId="0" borderId="0" xfId="0" applyNumberFormat="1" applyFont="1" applyFill="1" applyBorder="1" applyAlignment="1">
      <alignment horizontal="right" vertical="center" wrapText="1"/>
    </xf>
    <xf numFmtId="0" fontId="44" fillId="3" borderId="0" xfId="0" applyFont="1" applyFill="1" applyBorder="1" applyAlignment="1">
      <alignment vertical="center"/>
    </xf>
    <xf numFmtId="14" fontId="44" fillId="3" borderId="6" xfId="0" applyNumberFormat="1" applyFont="1" applyFill="1" applyBorder="1" applyAlignment="1">
      <alignment horizontal="right" vertical="center" wrapText="1"/>
    </xf>
    <xf numFmtId="172" fontId="21" fillId="3" borderId="6" xfId="0" applyNumberFormat="1" applyFont="1" applyFill="1" applyBorder="1" applyAlignment="1">
      <alignment horizontal="right" vertical="center" wrapText="1"/>
    </xf>
    <xf numFmtId="3" fontId="40" fillId="3" borderId="11" xfId="0" applyNumberFormat="1" applyFont="1" applyFill="1" applyBorder="1" applyAlignment="1">
      <alignment wrapText="1"/>
    </xf>
    <xf numFmtId="3" fontId="30" fillId="0" borderId="0" xfId="0" applyNumberFormat="1" applyFont="1" applyBorder="1" applyAlignment="1"/>
    <xf numFmtId="164" fontId="21" fillId="3" borderId="11" xfId="0" applyNumberFormat="1" applyFont="1" applyFill="1" applyBorder="1" applyAlignment="1">
      <alignment horizontal="right" vertical="center" wrapText="1"/>
    </xf>
    <xf numFmtId="0" fontId="44" fillId="3" borderId="5" xfId="0" applyFont="1" applyFill="1" applyBorder="1" applyAlignment="1">
      <alignment vertical="center" wrapText="1"/>
    </xf>
    <xf numFmtId="0" fontId="40" fillId="0" borderId="0" xfId="0" applyFont="1" applyBorder="1" applyAlignment="1">
      <alignment vertical="center"/>
    </xf>
    <xf numFmtId="14" fontId="21" fillId="3" borderId="1" xfId="0" applyNumberFormat="1" applyFont="1" applyFill="1" applyBorder="1" applyAlignment="1">
      <alignment horizontal="center" vertical="center" wrapText="1"/>
    </xf>
    <xf numFmtId="3" fontId="24" fillId="3" borderId="0" xfId="0" applyNumberFormat="1" applyFont="1" applyFill="1" applyBorder="1" applyAlignment="1">
      <alignment horizontal="right" vertical="center" wrapText="1"/>
    </xf>
    <xf numFmtId="3" fontId="40" fillId="0" borderId="10" xfId="0" applyNumberFormat="1" applyFont="1" applyBorder="1" applyAlignment="1">
      <alignment horizontal="right" wrapText="1"/>
    </xf>
    <xf numFmtId="0" fontId="60" fillId="0" borderId="5" xfId="0" applyFont="1" applyBorder="1" applyAlignment="1">
      <alignment vertical="center"/>
    </xf>
    <xf numFmtId="0" fontId="96" fillId="0" borderId="5" xfId="0" applyFont="1" applyBorder="1" applyAlignment="1">
      <alignment vertical="center"/>
    </xf>
    <xf numFmtId="3" fontId="81" fillId="3" borderId="0" xfId="0" applyNumberFormat="1" applyFont="1" applyFill="1" applyBorder="1" applyAlignment="1">
      <alignment horizontal="justify" vertical="center" wrapText="1"/>
    </xf>
    <xf numFmtId="3" fontId="81" fillId="3" borderId="0" xfId="0" applyNumberFormat="1" applyFont="1" applyFill="1" applyBorder="1" applyAlignment="1">
      <alignment horizontal="left" vertical="center" wrapText="1"/>
    </xf>
    <xf numFmtId="3" fontId="81" fillId="3" borderId="0" xfId="0" applyNumberFormat="1" applyFont="1" applyFill="1" applyBorder="1" applyAlignment="1">
      <alignment horizontal="right" vertical="center" wrapText="1"/>
    </xf>
    <xf numFmtId="0" fontId="62" fillId="0" borderId="0" xfId="0" applyFont="1" applyAlignment="1">
      <alignment horizontal="justify"/>
    </xf>
    <xf numFmtId="0" fontId="60" fillId="0" borderId="5" xfId="0" applyFont="1" applyBorder="1" applyAlignment="1">
      <alignment horizontal="justify" vertical="center"/>
    </xf>
    <xf numFmtId="14" fontId="4" fillId="3" borderId="0" xfId="0" applyNumberFormat="1" applyFont="1" applyFill="1" applyBorder="1" applyAlignment="1">
      <alignment horizontal="right" vertical="center" wrapText="1"/>
    </xf>
    <xf numFmtId="0" fontId="105" fillId="3" borderId="0" xfId="0" applyFont="1" applyFill="1" applyAlignment="1">
      <alignment vertical="center" wrapText="1"/>
    </xf>
    <xf numFmtId="3" fontId="39" fillId="7" borderId="9" xfId="0" applyNumberFormat="1" applyFont="1" applyFill="1" applyBorder="1" applyAlignment="1">
      <alignment horizontal="right" vertical="center" wrapText="1"/>
    </xf>
    <xf numFmtId="0" fontId="39" fillId="3" borderId="11" xfId="0" quotePrefix="1" applyFont="1" applyFill="1" applyBorder="1" applyAlignment="1">
      <alignment vertical="center" wrapText="1"/>
    </xf>
    <xf numFmtId="3" fontId="39" fillId="7" borderId="11" xfId="0" applyNumberFormat="1" applyFont="1" applyFill="1" applyBorder="1" applyAlignment="1">
      <alignment horizontal="right" vertical="center" wrapText="1"/>
    </xf>
    <xf numFmtId="0" fontId="39" fillId="3" borderId="4" xfId="0" applyFont="1" applyFill="1" applyBorder="1" applyAlignment="1">
      <alignment vertical="center" wrapText="1"/>
    </xf>
    <xf numFmtId="3" fontId="24" fillId="7" borderId="4" xfId="0" applyNumberFormat="1" applyFont="1" applyFill="1" applyBorder="1" applyAlignment="1">
      <alignment horizontal="right" vertical="center" wrapText="1"/>
    </xf>
    <xf numFmtId="0" fontId="39" fillId="3" borderId="10" xfId="0" quotePrefix="1" applyFont="1" applyFill="1" applyBorder="1" applyAlignment="1">
      <alignment vertical="center" wrapText="1"/>
    </xf>
    <xf numFmtId="3" fontId="39" fillId="7" borderId="10" xfId="0" applyNumberFormat="1" applyFont="1" applyFill="1" applyBorder="1" applyAlignment="1">
      <alignment horizontal="right" vertical="center" wrapText="1"/>
    </xf>
    <xf numFmtId="164" fontId="21" fillId="7" borderId="4" xfId="0" applyNumberFormat="1" applyFont="1" applyFill="1" applyBorder="1" applyAlignment="1">
      <alignment horizontal="right" vertical="center" wrapText="1"/>
    </xf>
    <xf numFmtId="0" fontId="107" fillId="3" borderId="0" xfId="0" applyFont="1" applyFill="1" applyAlignment="1">
      <alignment wrapText="1"/>
    </xf>
    <xf numFmtId="0" fontId="39" fillId="7" borderId="0" xfId="0" applyFont="1" applyFill="1" applyAlignment="1">
      <alignment horizontal="right" vertical="center" wrapText="1"/>
    </xf>
    <xf numFmtId="0" fontId="4" fillId="3" borderId="0" xfId="0" applyFont="1" applyFill="1" applyBorder="1" applyAlignment="1">
      <alignment vertical="center" wrapText="1"/>
    </xf>
    <xf numFmtId="9" fontId="0" fillId="0" borderId="0" xfId="3" applyFont="1"/>
    <xf numFmtId="0" fontId="39" fillId="3" borderId="11" xfId="0" applyFont="1" applyFill="1" applyBorder="1" applyAlignment="1">
      <alignment horizontal="right" vertical="center" wrapText="1"/>
    </xf>
    <xf numFmtId="0" fontId="46" fillId="3" borderId="9" xfId="0" quotePrefix="1" applyFont="1" applyFill="1" applyBorder="1" applyAlignment="1">
      <alignment vertical="center" wrapText="1"/>
    </xf>
    <xf numFmtId="0" fontId="5" fillId="7" borderId="0" xfId="0" applyFont="1" applyFill="1" applyAlignment="1">
      <alignment horizontal="right" vertical="center" wrapText="1"/>
    </xf>
    <xf numFmtId="0" fontId="5" fillId="3" borderId="0" xfId="0" applyFont="1" applyFill="1" applyAlignment="1">
      <alignment horizontal="right" vertical="center" wrapText="1"/>
    </xf>
    <xf numFmtId="165" fontId="24" fillId="7" borderId="10" xfId="0" applyNumberFormat="1" applyFont="1" applyFill="1" applyBorder="1" applyAlignment="1">
      <alignment horizontal="right" vertical="center" wrapText="1"/>
    </xf>
    <xf numFmtId="165" fontId="24" fillId="3" borderId="10" xfId="0" applyNumberFormat="1" applyFont="1" applyFill="1" applyBorder="1" applyAlignment="1">
      <alignment horizontal="right" vertical="center" wrapText="1"/>
    </xf>
    <xf numFmtId="164" fontId="5" fillId="7" borderId="11" xfId="0" applyNumberFormat="1" applyFont="1" applyFill="1" applyBorder="1" applyAlignment="1">
      <alignment horizontal="right"/>
    </xf>
    <xf numFmtId="164" fontId="5" fillId="3" borderId="11" xfId="0" applyNumberFormat="1" applyFont="1" applyFill="1" applyBorder="1" applyAlignment="1">
      <alignment horizontal="right"/>
    </xf>
    <xf numFmtId="165" fontId="4" fillId="7" borderId="4" xfId="0" applyNumberFormat="1" applyFont="1" applyFill="1" applyBorder="1" applyAlignment="1">
      <alignment horizontal="right" vertical="center" wrapText="1"/>
    </xf>
    <xf numFmtId="165" fontId="4" fillId="3" borderId="4" xfId="0" applyNumberFormat="1" applyFont="1" applyFill="1" applyBorder="1" applyAlignment="1">
      <alignment horizontal="right" vertical="center" wrapText="1"/>
    </xf>
    <xf numFmtId="0" fontId="40" fillId="0" borderId="0" xfId="0" applyFont="1" applyAlignment="1">
      <alignment vertical="center" wrapText="1"/>
    </xf>
    <xf numFmtId="0" fontId="70" fillId="0" borderId="11" xfId="0" quotePrefix="1" applyFont="1" applyBorder="1" applyAlignment="1">
      <alignment vertical="center" wrapText="1"/>
    </xf>
    <xf numFmtId="0" fontId="75" fillId="0" borderId="0" xfId="0" applyFont="1" applyAlignment="1">
      <alignment horizontal="justify" vertical="center"/>
    </xf>
    <xf numFmtId="0" fontId="26" fillId="0" borderId="0" xfId="0" applyFont="1" applyAlignment="1">
      <alignment horizontal="left" vertical="center" wrapText="1"/>
    </xf>
    <xf numFmtId="0" fontId="75" fillId="0" borderId="0" xfId="0" applyFont="1" applyAlignment="1">
      <alignment vertical="center"/>
    </xf>
    <xf numFmtId="0" fontId="75" fillId="0" borderId="0" xfId="0" applyFont="1" applyAlignment="1">
      <alignment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0" xfId="0" applyFont="1" applyFill="1" applyBorder="1" applyAlignment="1">
      <alignment vertical="center" wrapText="1"/>
    </xf>
    <xf numFmtId="3" fontId="21" fillId="3" borderId="0" xfId="0" applyNumberFormat="1" applyFont="1" applyFill="1" applyBorder="1" applyAlignment="1">
      <alignment vertical="center" wrapText="1"/>
    </xf>
    <xf numFmtId="0" fontId="40" fillId="3" borderId="11" xfId="0" applyFont="1" applyFill="1" applyBorder="1" applyAlignment="1">
      <alignment horizontal="left" vertical="center" wrapText="1"/>
    </xf>
    <xf numFmtId="0" fontId="94" fillId="3" borderId="0" xfId="0" applyFont="1" applyFill="1" applyAlignment="1">
      <alignment vertical="center"/>
    </xf>
    <xf numFmtId="0" fontId="40" fillId="3" borderId="1" xfId="0" applyFont="1" applyFill="1" applyBorder="1" applyAlignment="1">
      <alignment vertical="center" wrapText="1"/>
    </xf>
    <xf numFmtId="164" fontId="39" fillId="3" borderId="1" xfId="0" applyNumberFormat="1" applyFont="1" applyFill="1" applyBorder="1" applyAlignment="1">
      <alignment horizontal="right" vertical="center" wrapText="1"/>
    </xf>
    <xf numFmtId="164" fontId="40" fillId="3" borderId="1" xfId="0" applyNumberFormat="1" applyFont="1" applyFill="1" applyBorder="1" applyAlignment="1">
      <alignment horizontal="right" vertical="center" wrapText="1"/>
    </xf>
    <xf numFmtId="0" fontId="63" fillId="3" borderId="11" xfId="0" applyFont="1" applyFill="1" applyBorder="1" applyAlignment="1">
      <alignment vertical="center" wrapText="1"/>
    </xf>
    <xf numFmtId="0" fontId="24" fillId="3" borderId="0" xfId="0" applyFont="1" applyFill="1" applyBorder="1" applyAlignment="1">
      <alignment horizontal="justify" vertical="center" wrapText="1"/>
    </xf>
    <xf numFmtId="3" fontId="39" fillId="3" borderId="1" xfId="0" applyNumberFormat="1" applyFont="1" applyFill="1" applyBorder="1" applyAlignment="1">
      <alignment horizontal="right" vertical="center" wrapText="1"/>
    </xf>
    <xf numFmtId="173" fontId="39" fillId="3" borderId="9" xfId="0" applyNumberFormat="1" applyFont="1" applyFill="1" applyBorder="1" applyAlignment="1">
      <alignment horizontal="right" vertical="center" wrapText="1"/>
    </xf>
    <xf numFmtId="0" fontId="109" fillId="3" borderId="0" xfId="0" applyFont="1" applyFill="1" applyBorder="1" applyAlignment="1">
      <alignment horizontal="right" vertical="center" wrapText="1"/>
    </xf>
    <xf numFmtId="173" fontId="109" fillId="3" borderId="0" xfId="0" applyNumberFormat="1" applyFont="1" applyFill="1" applyBorder="1" applyAlignment="1">
      <alignment horizontal="right" vertical="center" wrapText="1"/>
    </xf>
    <xf numFmtId="3" fontId="21" fillId="3" borderId="7" xfId="0" applyNumberFormat="1" applyFont="1" applyFill="1" applyBorder="1" applyAlignment="1">
      <alignment vertical="center" wrapText="1"/>
    </xf>
    <xf numFmtId="0" fontId="44" fillId="7" borderId="6" xfId="0" applyFont="1" applyFill="1" applyBorder="1" applyAlignment="1">
      <alignment horizontal="right" vertical="center" wrapText="1"/>
    </xf>
    <xf numFmtId="3" fontId="40" fillId="7" borderId="0" xfId="0" applyNumberFormat="1" applyFont="1" applyFill="1" applyBorder="1" applyAlignment="1">
      <alignment horizontal="right" vertical="center" wrapText="1"/>
    </xf>
    <xf numFmtId="3" fontId="21" fillId="7" borderId="0" xfId="0" applyNumberFormat="1" applyFont="1" applyFill="1" applyBorder="1" applyAlignment="1">
      <alignment vertical="center" wrapText="1"/>
    </xf>
    <xf numFmtId="0" fontId="39" fillId="7" borderId="11" xfId="0" applyFont="1" applyFill="1" applyBorder="1" applyAlignment="1">
      <alignment horizontal="right" vertical="center" wrapText="1"/>
    </xf>
    <xf numFmtId="3" fontId="0" fillId="0" borderId="5" xfId="0" applyNumberFormat="1" applyBorder="1" applyAlignment="1">
      <alignment vertical="center"/>
    </xf>
    <xf numFmtId="3" fontId="73" fillId="3" borderId="0" xfId="0" applyNumberFormat="1" applyFont="1" applyFill="1" applyBorder="1" applyAlignment="1">
      <alignment vertical="center" wrapText="1"/>
    </xf>
    <xf numFmtId="3" fontId="73" fillId="3" borderId="0" xfId="0" applyNumberFormat="1" applyFont="1" applyFill="1" applyBorder="1" applyAlignment="1">
      <alignment vertical="center"/>
    </xf>
    <xf numFmtId="164" fontId="24" fillId="3" borderId="11" xfId="0" applyNumberFormat="1" applyFont="1" applyFill="1" applyBorder="1" applyAlignment="1">
      <alignment horizontal="right" vertical="center" wrapText="1"/>
    </xf>
    <xf numFmtId="3" fontId="24" fillId="3" borderId="7" xfId="0" applyNumberFormat="1" applyFont="1" applyFill="1" applyBorder="1" applyAlignment="1">
      <alignment vertical="center" wrapText="1"/>
    </xf>
    <xf numFmtId="3" fontId="39" fillId="3" borderId="11" xfId="0" applyNumberFormat="1" applyFont="1" applyFill="1" applyBorder="1" applyAlignment="1">
      <alignment vertical="center" wrapText="1"/>
    </xf>
    <xf numFmtId="3" fontId="39" fillId="3" borderId="11" xfId="0" applyNumberFormat="1" applyFont="1" applyFill="1" applyBorder="1" applyAlignment="1">
      <alignment horizontal="center" vertical="center" wrapText="1"/>
    </xf>
    <xf numFmtId="164" fontId="39" fillId="3" borderId="9" xfId="0" quotePrefix="1" applyNumberFormat="1" applyFont="1" applyFill="1" applyBorder="1" applyAlignment="1">
      <alignment horizontal="right" vertical="center" wrapText="1"/>
    </xf>
    <xf numFmtId="164" fontId="40" fillId="0" borderId="0" xfId="0" applyNumberFormat="1" applyFont="1" applyAlignment="1">
      <alignment horizontal="right" vertical="center"/>
    </xf>
    <xf numFmtId="164" fontId="21" fillId="0" borderId="0" xfId="0" applyNumberFormat="1" applyFont="1" applyBorder="1" applyAlignment="1">
      <alignment horizontal="right" vertical="center" wrapText="1"/>
    </xf>
    <xf numFmtId="0" fontId="40" fillId="7" borderId="10" xfId="0" applyFont="1" applyFill="1" applyBorder="1" applyAlignment="1">
      <alignment horizontal="right" vertical="center" wrapText="1"/>
    </xf>
    <xf numFmtId="164" fontId="39" fillId="7" borderId="9" xfId="0" applyNumberFormat="1" applyFont="1" applyFill="1" applyBorder="1" applyAlignment="1">
      <alignment horizontal="right" vertical="center" wrapText="1"/>
    </xf>
    <xf numFmtId="3" fontId="40" fillId="7" borderId="9" xfId="0" applyNumberFormat="1" applyFont="1" applyFill="1" applyBorder="1" applyAlignment="1">
      <alignment horizontal="right" vertical="center" wrapText="1"/>
    </xf>
    <xf numFmtId="0" fontId="63" fillId="7" borderId="9" xfId="0" applyFont="1" applyFill="1" applyBorder="1" applyAlignment="1">
      <alignment horizontal="right" vertical="center" wrapText="1"/>
    </xf>
    <xf numFmtId="164" fontId="39" fillId="7" borderId="6" xfId="0" applyNumberFormat="1" applyFont="1" applyFill="1" applyBorder="1" applyAlignment="1">
      <alignment horizontal="right" vertical="center" wrapText="1"/>
    </xf>
    <xf numFmtId="166" fontId="39" fillId="7" borderId="0" xfId="0" applyNumberFormat="1" applyFont="1" applyFill="1" applyBorder="1" applyAlignment="1">
      <alignment horizontal="right" wrapText="1"/>
    </xf>
    <xf numFmtId="166" fontId="39" fillId="7" borderId="9" xfId="0" applyNumberFormat="1" applyFont="1" applyFill="1" applyBorder="1" applyAlignment="1">
      <alignment horizontal="right" vertical="center" wrapText="1"/>
    </xf>
    <xf numFmtId="9" fontId="39" fillId="7" borderId="9" xfId="0" applyNumberFormat="1" applyFont="1" applyFill="1" applyBorder="1" applyAlignment="1">
      <alignment horizontal="right" vertical="center" wrapText="1"/>
    </xf>
    <xf numFmtId="168" fontId="39" fillId="7" borderId="9" xfId="0" applyNumberFormat="1" applyFont="1" applyFill="1" applyBorder="1" applyAlignment="1">
      <alignment horizontal="right" vertical="center" wrapText="1"/>
    </xf>
    <xf numFmtId="169" fontId="39" fillId="7" borderId="9" xfId="0" applyNumberFormat="1" applyFont="1" applyFill="1" applyBorder="1" applyAlignment="1">
      <alignment horizontal="right" vertical="center" wrapText="1"/>
    </xf>
    <xf numFmtId="9" fontId="39" fillId="7" borderId="6" xfId="0" applyNumberFormat="1" applyFont="1" applyFill="1" applyBorder="1" applyAlignment="1">
      <alignment horizontal="right" vertical="center" wrapText="1"/>
    </xf>
    <xf numFmtId="3" fontId="40" fillId="7" borderId="10" xfId="0" applyNumberFormat="1" applyFont="1" applyFill="1" applyBorder="1" applyAlignment="1">
      <alignment wrapText="1"/>
    </xf>
    <xf numFmtId="3" fontId="40" fillId="7" borderId="9" xfId="0" applyNumberFormat="1" applyFont="1" applyFill="1" applyBorder="1" applyAlignment="1">
      <alignment vertical="center" wrapText="1"/>
    </xf>
    <xf numFmtId="0" fontId="40" fillId="7" borderId="6" xfId="0" applyFont="1" applyFill="1" applyBorder="1" applyAlignment="1">
      <alignment horizontal="right" vertical="center" wrapText="1"/>
    </xf>
    <xf numFmtId="3" fontId="40" fillId="7" borderId="10" xfId="0" applyNumberFormat="1" applyFont="1" applyFill="1" applyBorder="1" applyAlignment="1">
      <alignment horizontal="right" wrapText="1"/>
    </xf>
    <xf numFmtId="0" fontId="40" fillId="7" borderId="0" xfId="0" applyFont="1" applyFill="1" applyAlignment="1">
      <alignment horizontal="right" vertical="center" wrapText="1"/>
    </xf>
    <xf numFmtId="164" fontId="39" fillId="7" borderId="9" xfId="0" applyNumberFormat="1" applyFont="1" applyFill="1" applyBorder="1" applyAlignment="1">
      <alignment horizontal="right" wrapText="1"/>
    </xf>
    <xf numFmtId="164" fontId="39" fillId="7" borderId="11" xfId="0" applyNumberFormat="1" applyFont="1" applyFill="1" applyBorder="1" applyAlignment="1">
      <alignment horizontal="right" vertical="center" wrapText="1"/>
    </xf>
    <xf numFmtId="165" fontId="24" fillId="7" borderId="7" xfId="0" applyNumberFormat="1" applyFont="1" applyFill="1" applyBorder="1" applyAlignment="1">
      <alignment horizontal="right" vertical="center" wrapText="1"/>
    </xf>
    <xf numFmtId="164" fontId="39" fillId="7" borderId="0" xfId="0" applyNumberFormat="1" applyFont="1" applyFill="1" applyBorder="1" applyAlignment="1">
      <alignment horizontal="right" vertical="center" wrapText="1"/>
    </xf>
    <xf numFmtId="3" fontId="39" fillId="7" borderId="0" xfId="0" applyNumberFormat="1" applyFont="1" applyFill="1" applyBorder="1" applyAlignment="1">
      <alignment horizontal="right" vertical="center" wrapText="1"/>
    </xf>
    <xf numFmtId="167" fontId="39" fillId="7" borderId="10" xfId="0" applyNumberFormat="1" applyFont="1" applyFill="1" applyBorder="1" applyAlignment="1">
      <alignment horizontal="right" vertical="center" wrapText="1"/>
    </xf>
    <xf numFmtId="167" fontId="39" fillId="7" borderId="6" xfId="0" applyNumberFormat="1" applyFont="1" applyFill="1" applyBorder="1" applyAlignment="1">
      <alignment horizontal="right" vertical="center" wrapText="1"/>
    </xf>
    <xf numFmtId="0" fontId="40" fillId="7" borderId="0" xfId="0" applyFont="1" applyFill="1" applyBorder="1" applyAlignment="1">
      <alignment horizontal="right" vertical="center" wrapText="1"/>
    </xf>
    <xf numFmtId="3" fontId="24" fillId="7" borderId="10" xfId="0" applyNumberFormat="1" applyFont="1" applyFill="1" applyBorder="1" applyAlignment="1">
      <alignment horizontal="right" vertical="center" wrapText="1"/>
    </xf>
    <xf numFmtId="0" fontId="39" fillId="7" borderId="9" xfId="0" applyFont="1" applyFill="1" applyBorder="1" applyAlignment="1">
      <alignment horizontal="center" vertical="center" wrapText="1"/>
    </xf>
    <xf numFmtId="0" fontId="39" fillId="7" borderId="11" xfId="0" applyFont="1" applyFill="1" applyBorder="1" applyAlignment="1">
      <alignment horizontal="center" vertical="center" wrapText="1"/>
    </xf>
    <xf numFmtId="164" fontId="39" fillId="7" borderId="0" xfId="0" applyNumberFormat="1" applyFont="1" applyFill="1" applyBorder="1" applyAlignment="1">
      <alignment horizontal="right" wrapText="1"/>
    </xf>
    <xf numFmtId="164" fontId="24" fillId="7" borderId="7" xfId="0" applyNumberFormat="1" applyFont="1" applyFill="1" applyBorder="1" applyAlignment="1">
      <alignment horizontal="right" wrapText="1"/>
    </xf>
    <xf numFmtId="164" fontId="39" fillId="7" borderId="10" xfId="0" applyNumberFormat="1" applyFont="1" applyFill="1" applyBorder="1" applyAlignment="1">
      <alignment horizontal="right" vertical="center" wrapText="1"/>
    </xf>
    <xf numFmtId="164" fontId="39" fillId="7" borderId="11" xfId="0" applyNumberFormat="1" applyFont="1" applyFill="1" applyBorder="1" applyAlignment="1">
      <alignment horizontal="right" wrapText="1"/>
    </xf>
    <xf numFmtId="3" fontId="24" fillId="7" borderId="9" xfId="0" applyNumberFormat="1" applyFont="1" applyFill="1" applyBorder="1" applyAlignment="1">
      <alignment horizontal="right" wrapText="1"/>
    </xf>
    <xf numFmtId="3" fontId="24" fillId="7" borderId="11" xfId="0" applyNumberFormat="1" applyFont="1" applyFill="1" applyBorder="1" applyAlignment="1">
      <alignment horizontal="right" wrapText="1"/>
    </xf>
    <xf numFmtId="3" fontId="24" fillId="7" borderId="6" xfId="0" applyNumberFormat="1" applyFont="1" applyFill="1" applyBorder="1" applyAlignment="1">
      <alignment horizontal="right" vertical="center" wrapText="1"/>
    </xf>
    <xf numFmtId="3" fontId="24" fillId="7" borderId="0" xfId="0" applyNumberFormat="1" applyFont="1" applyFill="1" applyBorder="1" applyAlignment="1">
      <alignment horizontal="right" vertical="center" wrapText="1"/>
    </xf>
    <xf numFmtId="3" fontId="39" fillId="7" borderId="0" xfId="0" applyNumberFormat="1" applyFont="1" applyFill="1" applyBorder="1" applyAlignment="1">
      <alignment horizontal="right" wrapText="1"/>
    </xf>
    <xf numFmtId="3" fontId="39" fillId="7" borderId="6" xfId="0" applyNumberFormat="1" applyFont="1" applyFill="1" applyBorder="1" applyAlignment="1">
      <alignment horizontal="right" vertical="center" wrapText="1"/>
    </xf>
    <xf numFmtId="3" fontId="24" fillId="7" borderId="11" xfId="0" applyNumberFormat="1" applyFont="1" applyFill="1" applyBorder="1" applyAlignment="1">
      <alignment horizontal="right" vertical="center" wrapText="1"/>
    </xf>
    <xf numFmtId="0" fontId="21" fillId="7" borderId="10" xfId="0" applyFont="1" applyFill="1" applyBorder="1" applyAlignment="1">
      <alignment horizontal="center" vertical="center" wrapText="1"/>
    </xf>
    <xf numFmtId="0" fontId="40" fillId="7" borderId="9" xfId="0" applyFont="1" applyFill="1" applyBorder="1" applyAlignment="1">
      <alignment horizontal="center" vertical="center" wrapText="1"/>
    </xf>
    <xf numFmtId="3" fontId="21" fillId="7" borderId="7" xfId="0" applyNumberFormat="1" applyFont="1" applyFill="1" applyBorder="1" applyAlignment="1">
      <alignment horizontal="right" vertical="center" wrapText="1"/>
    </xf>
    <xf numFmtId="3" fontId="24" fillId="7" borderId="5" xfId="0" applyNumberFormat="1" applyFont="1" applyFill="1" applyBorder="1" applyAlignment="1">
      <alignment horizontal="right" vertical="center" wrapText="1"/>
    </xf>
    <xf numFmtId="3" fontId="21" fillId="7" borderId="5" xfId="0" applyNumberFormat="1" applyFont="1" applyFill="1" applyBorder="1" applyAlignment="1">
      <alignment horizontal="right" vertical="center" wrapText="1"/>
    </xf>
    <xf numFmtId="3" fontId="40" fillId="7" borderId="10" xfId="0" applyNumberFormat="1" applyFont="1" applyFill="1" applyBorder="1" applyAlignment="1">
      <alignment horizontal="right" vertical="center" wrapText="1"/>
    </xf>
    <xf numFmtId="3" fontId="21" fillId="7" borderId="9" xfId="0" applyNumberFormat="1" applyFont="1" applyFill="1" applyBorder="1" applyAlignment="1">
      <alignment horizontal="right" vertical="center" wrapText="1"/>
    </xf>
    <xf numFmtId="3" fontId="24" fillId="7" borderId="9" xfId="0" applyNumberFormat="1" applyFont="1" applyFill="1" applyBorder="1" applyAlignment="1">
      <alignment horizontal="right" vertical="center" wrapText="1"/>
    </xf>
    <xf numFmtId="3" fontId="21" fillId="7" borderId="4" xfId="0" applyNumberFormat="1" applyFont="1" applyFill="1" applyBorder="1" applyAlignment="1">
      <alignment horizontal="right" vertical="center" wrapText="1"/>
    </xf>
    <xf numFmtId="0" fontId="24" fillId="7" borderId="4" xfId="0" applyFont="1" applyFill="1" applyBorder="1" applyAlignment="1">
      <alignment vertical="center" wrapText="1"/>
    </xf>
    <xf numFmtId="0" fontId="24" fillId="7" borderId="4" xfId="0" applyFont="1" applyFill="1" applyBorder="1" applyAlignment="1">
      <alignment horizontal="center" vertical="center" wrapText="1"/>
    </xf>
    <xf numFmtId="164" fontId="4" fillId="3" borderId="11" xfId="0" applyNumberFormat="1" applyFont="1" applyFill="1" applyBorder="1" applyAlignment="1">
      <alignment horizontal="right" vertical="center" wrapText="1"/>
    </xf>
    <xf numFmtId="164" fontId="4" fillId="3" borderId="10" xfId="0" applyNumberFormat="1" applyFont="1" applyFill="1" applyBorder="1" applyAlignment="1">
      <alignment horizontal="right" vertical="center" wrapText="1"/>
    </xf>
    <xf numFmtId="164" fontId="4" fillId="3" borderId="10" xfId="0" applyNumberFormat="1" applyFont="1" applyFill="1" applyBorder="1" applyAlignment="1">
      <alignment horizontal="right" wrapText="1"/>
    </xf>
    <xf numFmtId="0" fontId="21" fillId="7" borderId="9" xfId="0" applyFont="1" applyFill="1" applyBorder="1" applyAlignment="1">
      <alignment wrapText="1"/>
    </xf>
    <xf numFmtId="0" fontId="21" fillId="7" borderId="9" xfId="0" applyFont="1" applyFill="1" applyBorder="1" applyAlignment="1">
      <alignment vertical="center" wrapText="1"/>
    </xf>
    <xf numFmtId="0" fontId="21" fillId="7" borderId="15" xfId="0" applyFont="1" applyFill="1" applyBorder="1" applyAlignment="1">
      <alignment vertical="center" wrapText="1"/>
    </xf>
    <xf numFmtId="0" fontId="21" fillId="7" borderId="8" xfId="0" applyFont="1" applyFill="1" applyBorder="1" applyAlignment="1">
      <alignment vertical="center" wrapText="1"/>
    </xf>
    <xf numFmtId="164" fontId="21" fillId="7" borderId="8" xfId="0" applyNumberFormat="1" applyFont="1" applyFill="1" applyBorder="1" applyAlignment="1">
      <alignment horizontal="right" vertical="center" wrapText="1"/>
    </xf>
    <xf numFmtId="0" fontId="73" fillId="7" borderId="0" xfId="0" applyFont="1" applyFill="1" applyBorder="1" applyAlignment="1">
      <alignment vertical="center" wrapText="1"/>
    </xf>
    <xf numFmtId="3" fontId="39" fillId="7" borderId="9" xfId="0" applyNumberFormat="1" applyFont="1" applyFill="1" applyBorder="1" applyAlignment="1">
      <alignment horizontal="right" wrapText="1"/>
    </xf>
    <xf numFmtId="3" fontId="63" fillId="7" borderId="9" xfId="0" applyNumberFormat="1" applyFont="1" applyFill="1" applyBorder="1" applyAlignment="1">
      <alignment horizontal="right" vertical="center" wrapText="1"/>
    </xf>
    <xf numFmtId="3" fontId="40" fillId="7" borderId="11" xfId="0" applyNumberFormat="1" applyFont="1" applyFill="1" applyBorder="1" applyAlignment="1">
      <alignment horizontal="right" vertical="center" wrapText="1"/>
    </xf>
    <xf numFmtId="164" fontId="21" fillId="7" borderId="7" xfId="0" applyNumberFormat="1" applyFont="1" applyFill="1" applyBorder="1" applyAlignment="1">
      <alignment horizontal="right" vertical="center" wrapText="1"/>
    </xf>
    <xf numFmtId="3" fontId="63" fillId="7" borderId="11" xfId="0" applyNumberFormat="1" applyFont="1" applyFill="1" applyBorder="1" applyAlignment="1">
      <alignment horizontal="right" vertical="center" wrapText="1"/>
    </xf>
    <xf numFmtId="164" fontId="21" fillId="7" borderId="10" xfId="0" applyNumberFormat="1" applyFont="1" applyFill="1" applyBorder="1" applyAlignment="1">
      <alignment horizontal="right" vertical="center" wrapText="1"/>
    </xf>
    <xf numFmtId="14" fontId="21" fillId="7" borderId="7" xfId="0" applyNumberFormat="1" applyFont="1" applyFill="1" applyBorder="1" applyAlignment="1">
      <alignment horizontal="center" vertical="center" wrapText="1"/>
    </xf>
    <xf numFmtId="14" fontId="21" fillId="7" borderId="1" xfId="0" applyNumberFormat="1" applyFont="1" applyFill="1" applyBorder="1" applyAlignment="1">
      <alignment horizontal="center" vertical="center" wrapText="1"/>
    </xf>
    <xf numFmtId="0" fontId="40" fillId="7" borderId="0" xfId="0" applyFont="1" applyFill="1" applyBorder="1" applyAlignment="1">
      <alignment vertical="center"/>
    </xf>
    <xf numFmtId="164" fontId="24" fillId="7" borderId="9" xfId="0" applyNumberFormat="1" applyFont="1" applyFill="1" applyBorder="1" applyAlignment="1">
      <alignment horizontal="right" vertical="center" wrapText="1"/>
    </xf>
    <xf numFmtId="164" fontId="40" fillId="7" borderId="0" xfId="0" applyNumberFormat="1" applyFont="1" applyFill="1" applyBorder="1" applyAlignment="1">
      <alignment vertical="center"/>
    </xf>
    <xf numFmtId="164" fontId="48" fillId="7" borderId="0" xfId="0" applyNumberFormat="1" applyFont="1" applyFill="1" applyBorder="1" applyAlignment="1">
      <alignment horizontal="right" vertical="center" wrapText="1"/>
    </xf>
    <xf numFmtId="164" fontId="40" fillId="7" borderId="10" xfId="0" applyNumberFormat="1" applyFont="1" applyFill="1" applyBorder="1" applyAlignment="1">
      <alignment vertical="center"/>
    </xf>
    <xf numFmtId="3" fontId="21" fillId="7" borderId="4" xfId="0" applyNumberFormat="1" applyFont="1" applyFill="1" applyBorder="1" applyAlignment="1">
      <alignment horizontal="center" vertical="center" wrapText="1"/>
    </xf>
    <xf numFmtId="0" fontId="79" fillId="7" borderId="0" xfId="0" applyFont="1" applyFill="1" applyAlignment="1">
      <alignment horizontal="right" vertical="center" wrapText="1"/>
    </xf>
    <xf numFmtId="170" fontId="24" fillId="7" borderId="9" xfId="0" applyNumberFormat="1" applyFont="1" applyFill="1" applyBorder="1" applyAlignment="1">
      <alignment horizontal="right" vertical="center" wrapText="1"/>
    </xf>
    <xf numFmtId="164" fontId="40" fillId="7" borderId="0" xfId="0" applyNumberFormat="1" applyFont="1" applyFill="1" applyAlignment="1">
      <alignment vertical="center"/>
    </xf>
    <xf numFmtId="164" fontId="5" fillId="7" borderId="0" xfId="0" applyNumberFormat="1" applyFont="1" applyFill="1" applyAlignment="1">
      <alignment horizontal="right" vertical="center" wrapText="1"/>
    </xf>
    <xf numFmtId="164" fontId="40" fillId="7" borderId="0" xfId="0" applyNumberFormat="1" applyFont="1" applyFill="1"/>
    <xf numFmtId="170" fontId="24" fillId="7" borderId="10" xfId="0" applyNumberFormat="1" applyFont="1" applyFill="1" applyBorder="1" applyAlignment="1">
      <alignment horizontal="right" vertical="center" wrapText="1"/>
    </xf>
    <xf numFmtId="164" fontId="24" fillId="7" borderId="6" xfId="0" applyNumberFormat="1" applyFont="1" applyFill="1" applyBorder="1" applyAlignment="1">
      <alignment horizontal="right" vertical="center" wrapText="1"/>
    </xf>
    <xf numFmtId="49" fontId="21" fillId="7" borderId="4" xfId="0" applyNumberFormat="1" applyFont="1" applyFill="1" applyBorder="1" applyAlignment="1">
      <alignment horizontal="right" vertical="center" wrapText="1"/>
    </xf>
    <xf numFmtId="0" fontId="40" fillId="7" borderId="5" xfId="0" applyFont="1" applyFill="1" applyBorder="1" applyAlignment="1">
      <alignment horizontal="right" vertical="center" wrapText="1"/>
    </xf>
    <xf numFmtId="9" fontId="24" fillId="7" borderId="1" xfId="0" applyNumberFormat="1" applyFont="1" applyFill="1" applyBorder="1" applyAlignment="1">
      <alignment horizontal="right" vertical="center" wrapText="1"/>
    </xf>
    <xf numFmtId="0" fontId="44" fillId="7" borderId="7" xfId="0" applyFont="1" applyFill="1" applyBorder="1" applyAlignment="1">
      <alignment horizontal="right" vertical="center" wrapText="1"/>
    </xf>
    <xf numFmtId="0" fontId="21" fillId="7" borderId="7" xfId="0" applyFont="1" applyFill="1" applyBorder="1" applyAlignment="1">
      <alignment vertical="center" wrapText="1"/>
    </xf>
    <xf numFmtId="164" fontId="24" fillId="3" borderId="11" xfId="0" applyNumberFormat="1" applyFont="1" applyFill="1" applyBorder="1" applyAlignment="1">
      <alignment horizontal="right" wrapText="1"/>
    </xf>
    <xf numFmtId="0" fontId="46" fillId="3" borderId="10" xfId="0" applyFont="1" applyFill="1" applyBorder="1" applyAlignment="1">
      <alignment horizontal="center" vertical="center" wrapText="1"/>
    </xf>
    <xf numFmtId="0" fontId="21" fillId="3" borderId="10" xfId="0" applyFont="1" applyFill="1" applyBorder="1" applyAlignment="1">
      <alignment horizontal="right" vertical="center" wrapText="1"/>
    </xf>
    <xf numFmtId="0" fontId="90" fillId="3" borderId="11" xfId="0" applyFont="1" applyFill="1" applyBorder="1" applyAlignment="1">
      <alignment horizontal="center" vertical="center" wrapText="1"/>
    </xf>
    <xf numFmtId="0" fontId="21" fillId="3" borderId="11" xfId="0" applyFont="1" applyFill="1" applyBorder="1" applyAlignment="1">
      <alignment horizontal="right" vertical="center" wrapText="1"/>
    </xf>
    <xf numFmtId="0" fontId="46" fillId="3" borderId="0" xfId="0" applyFont="1" applyFill="1" applyBorder="1" applyAlignment="1">
      <alignment horizontal="center" vertical="center" wrapText="1"/>
    </xf>
    <xf numFmtId="0" fontId="39" fillId="3" borderId="10" xfId="0" quotePrefix="1" applyFont="1" applyFill="1" applyBorder="1" applyAlignment="1">
      <alignment horizontal="left" vertical="center" wrapText="1"/>
    </xf>
    <xf numFmtId="0" fontId="39" fillId="3" borderId="10" xfId="0" quotePrefix="1" applyFont="1" applyFill="1" applyBorder="1" applyAlignment="1">
      <alignment horizontal="center" vertical="center" wrapText="1"/>
    </xf>
    <xf numFmtId="164" fontId="39" fillId="0" borderId="11" xfId="0" applyNumberFormat="1" applyFont="1" applyFill="1" applyBorder="1" applyAlignment="1">
      <alignment horizontal="right" vertical="center" wrapText="1"/>
    </xf>
    <xf numFmtId="164" fontId="21" fillId="7" borderId="0" xfId="0" applyNumberFormat="1" applyFont="1" applyFill="1" applyBorder="1" applyAlignment="1">
      <alignment horizontal="right" vertical="center" wrapText="1"/>
    </xf>
    <xf numFmtId="164" fontId="39" fillId="7" borderId="9" xfId="0" quotePrefix="1" applyNumberFormat="1" applyFont="1" applyFill="1" applyBorder="1" applyAlignment="1">
      <alignment horizontal="right" vertical="center" wrapText="1"/>
    </xf>
    <xf numFmtId="164" fontId="40" fillId="7" borderId="9" xfId="0" applyNumberFormat="1" applyFont="1" applyFill="1" applyBorder="1" applyAlignment="1">
      <alignment horizontal="right" vertical="center" wrapText="1"/>
    </xf>
    <xf numFmtId="3" fontId="74" fillId="7" borderId="0" xfId="0" applyNumberFormat="1" applyFont="1" applyFill="1" applyAlignment="1">
      <alignment vertical="center" wrapText="1"/>
    </xf>
    <xf numFmtId="3" fontId="30" fillId="7" borderId="0" xfId="0" applyNumberFormat="1" applyFont="1" applyFill="1" applyAlignment="1">
      <alignment vertical="center"/>
    </xf>
    <xf numFmtId="164" fontId="40" fillId="7" borderId="11" xfId="0" applyNumberFormat="1" applyFont="1" applyFill="1" applyBorder="1" applyAlignment="1">
      <alignment horizontal="right" vertical="center" wrapText="1"/>
    </xf>
    <xf numFmtId="3" fontId="21" fillId="3" borderId="4" xfId="0" applyNumberFormat="1" applyFont="1" applyFill="1" applyBorder="1" applyAlignment="1">
      <alignment wrapText="1"/>
    </xf>
    <xf numFmtId="164" fontId="21" fillId="7" borderId="4" xfId="0" applyNumberFormat="1" applyFont="1" applyFill="1" applyBorder="1" applyAlignment="1">
      <alignment horizontal="right" wrapText="1"/>
    </xf>
    <xf numFmtId="3" fontId="21" fillId="7" borderId="4" xfId="0" applyNumberFormat="1" applyFont="1" applyFill="1" applyBorder="1" applyAlignment="1">
      <alignment vertical="center" wrapText="1"/>
    </xf>
    <xf numFmtId="3" fontId="21" fillId="7" borderId="1" xfId="0" applyNumberFormat="1" applyFont="1" applyFill="1" applyBorder="1" applyAlignment="1">
      <alignment vertical="center" wrapText="1"/>
    </xf>
    <xf numFmtId="14" fontId="21" fillId="7" borderId="4" xfId="0" applyNumberFormat="1" applyFont="1" applyFill="1" applyBorder="1" applyAlignment="1">
      <alignment horizontal="right" vertical="center" wrapText="1"/>
    </xf>
    <xf numFmtId="0" fontId="21" fillId="7" borderId="4" xfId="0" applyFont="1" applyFill="1" applyBorder="1" applyAlignment="1">
      <alignment horizontal="right" vertical="center" wrapText="1"/>
    </xf>
    <xf numFmtId="3" fontId="5" fillId="3" borderId="11" xfId="0" applyNumberFormat="1" applyFont="1" applyFill="1" applyBorder="1" applyAlignment="1">
      <alignment vertical="center" wrapText="1"/>
    </xf>
    <xf numFmtId="0" fontId="24" fillId="2" borderId="4" xfId="0" applyFont="1" applyFill="1" applyBorder="1" applyAlignment="1">
      <alignment vertical="center" wrapText="1"/>
    </xf>
    <xf numFmtId="164" fontId="39" fillId="7" borderId="5" xfId="0" applyNumberFormat="1" applyFont="1" applyFill="1" applyBorder="1" applyAlignment="1">
      <alignment horizontal="right" vertical="center" wrapText="1"/>
    </xf>
    <xf numFmtId="164" fontId="39" fillId="3" borderId="5" xfId="0" applyNumberFormat="1" applyFont="1" applyFill="1" applyBorder="1" applyAlignment="1">
      <alignment horizontal="right" vertical="center" wrapText="1"/>
    </xf>
    <xf numFmtId="0" fontId="24" fillId="2" borderId="5" xfId="0" applyFont="1" applyFill="1" applyBorder="1" applyAlignment="1">
      <alignment vertical="center" wrapText="1"/>
    </xf>
    <xf numFmtId="164" fontId="24" fillId="7" borderId="4" xfId="0" applyNumberFormat="1" applyFont="1" applyFill="1" applyBorder="1" applyAlignment="1">
      <alignment horizontal="right" vertical="center" wrapText="1"/>
    </xf>
    <xf numFmtId="0" fontId="97" fillId="7" borderId="0" xfId="0" applyFont="1" applyFill="1" applyBorder="1" applyAlignment="1">
      <alignment horizontal="right" vertical="center" wrapText="1"/>
    </xf>
    <xf numFmtId="0" fontId="79" fillId="2" borderId="0" xfId="0" applyFont="1" applyFill="1" applyBorder="1" applyAlignment="1">
      <alignment horizontal="right" vertical="center" wrapText="1"/>
    </xf>
    <xf numFmtId="0" fontId="40" fillId="0" borderId="0" xfId="0" applyFont="1" applyAlignment="1">
      <alignment horizontal="right"/>
    </xf>
    <xf numFmtId="0" fontId="40" fillId="2" borderId="0" xfId="0" applyFont="1" applyFill="1" applyBorder="1" applyAlignment="1">
      <alignment horizontal="right" vertical="center" wrapText="1"/>
    </xf>
    <xf numFmtId="0" fontId="39" fillId="2" borderId="0" xfId="0" applyFont="1" applyFill="1" applyBorder="1" applyAlignment="1">
      <alignment horizontal="right" vertical="center" wrapText="1"/>
    </xf>
    <xf numFmtId="3" fontId="40" fillId="3" borderId="10" xfId="0" applyNumberFormat="1" applyFont="1" applyFill="1" applyBorder="1" applyAlignment="1">
      <alignment horizontal="center" vertical="center" wrapText="1"/>
    </xf>
    <xf numFmtId="164" fontId="39" fillId="7" borderId="10" xfId="0" applyNumberFormat="1" applyFont="1" applyFill="1" applyBorder="1" applyAlignment="1">
      <alignment horizontal="right" wrapText="1"/>
    </xf>
    <xf numFmtId="3" fontId="40" fillId="7" borderId="9" xfId="0" applyNumberFormat="1" applyFont="1" applyFill="1" applyBorder="1" applyAlignment="1">
      <alignment horizontal="right" wrapText="1"/>
    </xf>
    <xf numFmtId="3" fontId="40" fillId="7" borderId="6" xfId="0" applyNumberFormat="1" applyFont="1" applyFill="1" applyBorder="1" applyAlignment="1">
      <alignment horizontal="right" vertical="center" wrapText="1"/>
    </xf>
    <xf numFmtId="3" fontId="21" fillId="7" borderId="6" xfId="0" applyNumberFormat="1" applyFont="1" applyFill="1" applyBorder="1" applyAlignment="1">
      <alignment horizontal="right" vertical="center" wrapText="1"/>
    </xf>
    <xf numFmtId="164" fontId="5" fillId="7" borderId="10" xfId="0" applyNumberFormat="1" applyFont="1" applyFill="1" applyBorder="1" applyAlignment="1">
      <alignment horizontal="right" vertical="center" wrapText="1"/>
    </xf>
    <xf numFmtId="164" fontId="5" fillId="7" borderId="9" xfId="0" applyNumberFormat="1" applyFont="1" applyFill="1" applyBorder="1" applyAlignment="1">
      <alignment horizontal="right" wrapText="1"/>
    </xf>
    <xf numFmtId="3" fontId="5" fillId="3" borderId="11" xfId="0" applyNumberFormat="1" applyFont="1" applyFill="1" applyBorder="1" applyAlignment="1">
      <alignment horizontal="left" vertical="center" wrapText="1"/>
    </xf>
    <xf numFmtId="3" fontId="40" fillId="3" borderId="11" xfId="0" applyNumberFormat="1" applyFont="1" applyFill="1" applyBorder="1" applyAlignment="1">
      <alignment horizontal="left" vertical="center"/>
    </xf>
    <xf numFmtId="3" fontId="5" fillId="3" borderId="11" xfId="0" applyNumberFormat="1" applyFont="1" applyFill="1" applyBorder="1" applyAlignment="1">
      <alignment horizontal="left" vertical="center"/>
    </xf>
    <xf numFmtId="3" fontId="40" fillId="0" borderId="11" xfId="0" applyNumberFormat="1" applyFont="1" applyBorder="1" applyAlignment="1">
      <alignment vertical="center" wrapText="1"/>
    </xf>
    <xf numFmtId="0" fontId="39" fillId="0" borderId="11" xfId="0" applyFont="1" applyBorder="1" applyAlignment="1">
      <alignment vertical="center" wrapText="1"/>
    </xf>
    <xf numFmtId="3" fontId="40" fillId="7" borderId="11" xfId="0" applyNumberFormat="1" applyFont="1" applyFill="1" applyBorder="1" applyAlignment="1">
      <alignment horizontal="right" wrapText="1"/>
    </xf>
    <xf numFmtId="3" fontId="40" fillId="3" borderId="11" xfId="0" applyNumberFormat="1" applyFont="1" applyFill="1" applyBorder="1" applyAlignment="1">
      <alignment horizontal="right" wrapText="1"/>
    </xf>
    <xf numFmtId="3" fontId="21" fillId="3" borderId="4" xfId="0" applyNumberFormat="1" applyFont="1" applyFill="1" applyBorder="1" applyAlignment="1">
      <alignment horizontal="justify" vertical="center" wrapText="1"/>
    </xf>
    <xf numFmtId="3" fontId="21" fillId="3" borderId="4" xfId="0" applyNumberFormat="1" applyFont="1" applyFill="1" applyBorder="1" applyAlignment="1">
      <alignment horizontal="left" vertical="center" wrapText="1"/>
    </xf>
    <xf numFmtId="3" fontId="4" fillId="3" borderId="4" xfId="0" applyNumberFormat="1" applyFont="1" applyFill="1" applyBorder="1" applyAlignment="1">
      <alignment vertical="center" wrapText="1"/>
    </xf>
    <xf numFmtId="3" fontId="21" fillId="7" borderId="7" xfId="0" applyNumberFormat="1" applyFont="1" applyFill="1" applyBorder="1" applyAlignment="1">
      <alignment horizontal="right" wrapText="1"/>
    </xf>
    <xf numFmtId="3" fontId="21" fillId="3" borderId="7" xfId="0" applyNumberFormat="1" applyFont="1" applyFill="1" applyBorder="1" applyAlignment="1">
      <alignment horizontal="right" wrapText="1"/>
    </xf>
    <xf numFmtId="3" fontId="21" fillId="3" borderId="7" xfId="0" applyNumberFormat="1" applyFont="1" applyFill="1" applyBorder="1" applyAlignment="1">
      <alignment wrapText="1"/>
    </xf>
    <xf numFmtId="3" fontId="4" fillId="3" borderId="7" xfId="0" applyNumberFormat="1" applyFont="1" applyFill="1" applyBorder="1" applyAlignment="1">
      <alignment vertical="center" wrapText="1"/>
    </xf>
    <xf numFmtId="172" fontId="21" fillId="7" borderId="6" xfId="0" applyNumberFormat="1" applyFont="1" applyFill="1" applyBorder="1" applyAlignment="1">
      <alignment horizontal="right" vertical="center" wrapText="1"/>
    </xf>
    <xf numFmtId="164" fontId="24" fillId="7" borderId="10" xfId="0" applyNumberFormat="1" applyFont="1" applyFill="1" applyBorder="1" applyAlignment="1">
      <alignment horizontal="right" vertical="center" wrapText="1"/>
    </xf>
    <xf numFmtId="3" fontId="30" fillId="7" borderId="0" xfId="0" applyNumberFormat="1" applyFont="1" applyFill="1" applyBorder="1" applyAlignment="1">
      <alignment vertical="center"/>
    </xf>
    <xf numFmtId="14" fontId="44" fillId="7" borderId="6" xfId="0" applyNumberFormat="1" applyFont="1" applyFill="1" applyBorder="1" applyAlignment="1">
      <alignment horizontal="right" vertical="center" wrapText="1"/>
    </xf>
    <xf numFmtId="164" fontId="24" fillId="7" borderId="0" xfId="0" applyNumberFormat="1" applyFont="1" applyFill="1" applyBorder="1" applyAlignment="1">
      <alignment horizontal="right" vertical="center" wrapText="1"/>
    </xf>
    <xf numFmtId="164" fontId="21" fillId="7" borderId="9" xfId="0" applyNumberFormat="1" applyFont="1" applyFill="1" applyBorder="1" applyAlignment="1">
      <alignment horizontal="right" vertical="center" wrapText="1"/>
    </xf>
    <xf numFmtId="164" fontId="21" fillId="7" borderId="9" xfId="0" applyNumberFormat="1" applyFont="1" applyFill="1" applyBorder="1" applyAlignment="1">
      <alignment horizontal="right" wrapText="1"/>
    </xf>
    <xf numFmtId="172" fontId="21" fillId="7" borderId="9" xfId="0" applyNumberFormat="1" applyFont="1" applyFill="1" applyBorder="1" applyAlignment="1">
      <alignment horizontal="right" wrapText="1"/>
    </xf>
    <xf numFmtId="172" fontId="21" fillId="7" borderId="9" xfId="0" applyNumberFormat="1" applyFont="1" applyFill="1" applyBorder="1" applyAlignment="1">
      <alignment horizontal="right" vertical="center" wrapText="1"/>
    </xf>
    <xf numFmtId="173" fontId="21" fillId="7" borderId="6" xfId="0" applyNumberFormat="1" applyFont="1" applyFill="1" applyBorder="1" applyAlignment="1">
      <alignment horizontal="right" vertical="center" wrapText="1"/>
    </xf>
    <xf numFmtId="164" fontId="40" fillId="7" borderId="9" xfId="0" applyNumberFormat="1" applyFont="1" applyFill="1" applyBorder="1" applyAlignment="1">
      <alignment horizontal="right" wrapText="1"/>
    </xf>
    <xf numFmtId="164" fontId="40" fillId="7" borderId="0" xfId="0" applyNumberFormat="1" applyFont="1" applyFill="1" applyBorder="1" applyAlignment="1">
      <alignment horizontal="right" wrapText="1"/>
    </xf>
    <xf numFmtId="164" fontId="40" fillId="7" borderId="0" xfId="0" applyNumberFormat="1" applyFont="1" applyFill="1" applyBorder="1" applyAlignment="1">
      <alignment horizontal="right" vertical="center" wrapText="1"/>
    </xf>
    <xf numFmtId="3" fontId="24" fillId="3" borderId="4" xfId="0" applyNumberFormat="1" applyFont="1" applyFill="1" applyBorder="1" applyAlignment="1">
      <alignment vertical="center" wrapText="1"/>
    </xf>
    <xf numFmtId="164" fontId="21" fillId="7" borderId="5" xfId="0" applyNumberFormat="1" applyFont="1" applyFill="1" applyBorder="1" applyAlignment="1">
      <alignment horizontal="right" vertical="center" wrapText="1"/>
    </xf>
    <xf numFmtId="164" fontId="21" fillId="3" borderId="5" xfId="0" applyNumberFormat="1" applyFont="1" applyFill="1" applyBorder="1" applyAlignment="1">
      <alignment horizontal="right" vertical="center" wrapText="1"/>
    </xf>
    <xf numFmtId="3" fontId="21" fillId="3" borderId="5" xfId="0" applyNumberFormat="1" applyFont="1" applyFill="1" applyBorder="1" applyAlignment="1">
      <alignment vertical="center" wrapText="1"/>
    </xf>
    <xf numFmtId="164" fontId="21" fillId="0" borderId="5" xfId="0" applyNumberFormat="1" applyFont="1" applyFill="1" applyBorder="1" applyAlignment="1">
      <alignment horizontal="right" vertical="center" wrapText="1"/>
    </xf>
    <xf numFmtId="172" fontId="21" fillId="7" borderId="7" xfId="0" applyNumberFormat="1" applyFont="1" applyFill="1" applyBorder="1" applyAlignment="1">
      <alignment horizontal="right" vertical="center" wrapText="1"/>
    </xf>
    <xf numFmtId="172" fontId="21" fillId="7" borderId="4" xfId="0" applyNumberFormat="1" applyFont="1" applyFill="1" applyBorder="1" applyAlignment="1">
      <alignment horizontal="right" vertical="center" wrapText="1"/>
    </xf>
    <xf numFmtId="3" fontId="21" fillId="7" borderId="7" xfId="0" applyNumberFormat="1" applyFont="1" applyFill="1" applyBorder="1" applyAlignment="1">
      <alignment vertical="center" wrapText="1"/>
    </xf>
    <xf numFmtId="164" fontId="24" fillId="7" borderId="7" xfId="0" applyNumberFormat="1" applyFont="1" applyFill="1" applyBorder="1" applyAlignment="1">
      <alignment horizontal="right" vertical="center" wrapText="1"/>
    </xf>
    <xf numFmtId="3" fontId="24" fillId="7" borderId="7" xfId="0" applyNumberFormat="1" applyFont="1" applyFill="1" applyBorder="1" applyAlignment="1">
      <alignment vertical="center" wrapText="1"/>
    </xf>
    <xf numFmtId="0" fontId="44" fillId="7" borderId="1" xfId="0" applyFont="1" applyFill="1" applyBorder="1" applyAlignment="1">
      <alignment horizontal="right" vertical="center" wrapText="1"/>
    </xf>
    <xf numFmtId="3" fontId="35" fillId="7" borderId="1" xfId="0" applyNumberFormat="1" applyFont="1" applyFill="1" applyBorder="1" applyAlignment="1">
      <alignment horizontal="center" wrapText="1"/>
    </xf>
    <xf numFmtId="164" fontId="4" fillId="7" borderId="7" xfId="0" applyNumberFormat="1" applyFont="1" applyFill="1" applyBorder="1" applyAlignment="1">
      <alignment horizontal="right" vertical="center" wrapText="1"/>
    </xf>
    <xf numFmtId="164" fontId="24" fillId="0" borderId="10" xfId="0" applyNumberFormat="1" applyFont="1" applyFill="1" applyBorder="1" applyAlignment="1">
      <alignment horizontal="right" vertical="center" wrapText="1"/>
    </xf>
    <xf numFmtId="1" fontId="81" fillId="7" borderId="4" xfId="0" applyNumberFormat="1" applyFont="1" applyFill="1" applyBorder="1" applyAlignment="1">
      <alignment horizontal="right" vertical="center" wrapText="1"/>
    </xf>
    <xf numFmtId="3" fontId="59" fillId="7" borderId="0" xfId="0" applyNumberFormat="1" applyFont="1" applyFill="1" applyBorder="1" applyAlignment="1">
      <alignment horizontal="right" vertical="center" wrapText="1"/>
    </xf>
    <xf numFmtId="3" fontId="59" fillId="7" borderId="0" xfId="0" applyNumberFormat="1" applyFont="1" applyFill="1" applyBorder="1" applyAlignment="1">
      <alignment vertical="center"/>
    </xf>
    <xf numFmtId="3" fontId="59" fillId="7" borderId="0" xfId="0" applyNumberFormat="1" applyFont="1" applyFill="1" applyBorder="1" applyAlignment="1">
      <alignment horizontal="justify" vertical="center"/>
    </xf>
    <xf numFmtId="0" fontId="39" fillId="7" borderId="0" xfId="0" applyFont="1" applyFill="1" applyBorder="1" applyAlignment="1">
      <alignment horizontal="right" vertical="center" wrapText="1"/>
    </xf>
    <xf numFmtId="0" fontId="24" fillId="3"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1" fillId="7" borderId="0" xfId="0" applyFont="1" applyFill="1" applyBorder="1" applyAlignment="1">
      <alignment horizontal="right" vertical="center" wrapText="1"/>
    </xf>
    <xf numFmtId="0" fontId="25" fillId="3" borderId="7" xfId="0" applyFont="1" applyFill="1" applyBorder="1" applyAlignment="1">
      <alignment vertical="top" wrapText="1"/>
    </xf>
    <xf numFmtId="164" fontId="25" fillId="3" borderId="7" xfId="0" applyNumberFormat="1" applyFont="1" applyFill="1" applyBorder="1" applyAlignment="1">
      <alignment horizontal="right" vertical="top" wrapText="1"/>
    </xf>
    <xf numFmtId="164" fontId="25" fillId="7" borderId="7" xfId="0" applyNumberFormat="1" applyFont="1" applyFill="1" applyBorder="1" applyAlignment="1">
      <alignment horizontal="right" vertical="top" wrapText="1"/>
    </xf>
    <xf numFmtId="0" fontId="5" fillId="7" borderId="0" xfId="0" applyFont="1" applyFill="1" applyBorder="1" applyAlignment="1">
      <alignment horizontal="right" vertical="center" wrapText="1"/>
    </xf>
    <xf numFmtId="0" fontId="21" fillId="7" borderId="0" xfId="0" applyFont="1" applyFill="1" applyBorder="1" applyAlignment="1">
      <alignment wrapText="1"/>
    </xf>
    <xf numFmtId="0" fontId="21" fillId="7" borderId="0" xfId="0" applyFont="1" applyFill="1" applyBorder="1" applyAlignment="1">
      <alignment vertical="center" wrapText="1"/>
    </xf>
    <xf numFmtId="164" fontId="24" fillId="7" borderId="1" xfId="0" applyNumberFormat="1" applyFont="1" applyFill="1" applyBorder="1" applyAlignment="1">
      <alignment horizontal="right" vertical="center" wrapText="1"/>
    </xf>
    <xf numFmtId="0" fontId="40" fillId="3" borderId="11" xfId="0" applyFont="1" applyFill="1" applyBorder="1" applyAlignment="1">
      <alignment horizontal="justify" vertical="center" wrapText="1"/>
    </xf>
    <xf numFmtId="0" fontId="74" fillId="3" borderId="11" xfId="0" applyFont="1" applyFill="1" applyBorder="1" applyAlignment="1">
      <alignment vertical="center" wrapText="1"/>
    </xf>
    <xf numFmtId="0" fontId="74" fillId="3" borderId="11" xfId="0" applyFont="1" applyFill="1" applyBorder="1" applyAlignment="1">
      <alignment horizontal="left" vertical="center" wrapText="1"/>
    </xf>
    <xf numFmtId="0" fontId="21" fillId="3" borderId="11" xfId="0" applyFont="1" applyFill="1" applyBorder="1" applyAlignment="1">
      <alignment wrapText="1"/>
    </xf>
    <xf numFmtId="164" fontId="40" fillId="7" borderId="10" xfId="0" applyNumberFormat="1" applyFont="1" applyFill="1" applyBorder="1" applyAlignment="1">
      <alignment horizontal="right" vertical="center" wrapText="1"/>
    </xf>
    <xf numFmtId="0" fontId="21" fillId="3" borderId="11" xfId="0" applyFont="1" applyFill="1" applyBorder="1" applyAlignment="1">
      <alignment horizontal="left" wrapText="1"/>
    </xf>
    <xf numFmtId="0" fontId="21" fillId="7" borderId="11" xfId="0" applyFont="1" applyFill="1" applyBorder="1" applyAlignment="1">
      <alignment wrapText="1"/>
    </xf>
    <xf numFmtId="0" fontId="21" fillId="7" borderId="11" xfId="0" applyFont="1" applyFill="1" applyBorder="1" applyAlignment="1">
      <alignment vertical="center" wrapText="1"/>
    </xf>
    <xf numFmtId="0" fontId="40" fillId="7" borderId="11" xfId="0" applyFont="1" applyFill="1" applyBorder="1" applyAlignment="1">
      <alignment vertical="center" wrapText="1"/>
    </xf>
    <xf numFmtId="0" fontId="74" fillId="0" borderId="10" xfId="0" applyFont="1" applyFill="1" applyBorder="1" applyAlignment="1">
      <alignment vertical="center" wrapText="1"/>
    </xf>
    <xf numFmtId="0" fontId="74" fillId="0" borderId="10" xfId="0" applyFont="1" applyFill="1" applyBorder="1" applyAlignment="1">
      <alignment horizontal="left" vertical="center" wrapText="1"/>
    </xf>
    <xf numFmtId="164" fontId="40" fillId="7" borderId="10" xfId="0" applyNumberFormat="1" applyFont="1" applyFill="1" applyBorder="1" applyAlignment="1">
      <alignment horizontal="right" wrapText="1"/>
    </xf>
    <xf numFmtId="0" fontId="74" fillId="3" borderId="10" xfId="0" applyFont="1" applyFill="1" applyBorder="1" applyAlignment="1">
      <alignment horizontal="left" vertical="center" wrapText="1"/>
    </xf>
    <xf numFmtId="0" fontId="80" fillId="3" borderId="7" xfId="0" applyFont="1" applyFill="1" applyBorder="1" applyAlignment="1">
      <alignment vertical="center" wrapText="1"/>
    </xf>
    <xf numFmtId="0" fontId="40" fillId="3" borderId="7" xfId="0" applyFont="1" applyFill="1" applyBorder="1" applyAlignment="1">
      <alignment vertical="center" wrapText="1"/>
    </xf>
    <xf numFmtId="0" fontId="40" fillId="3" borderId="11" xfId="0" applyFont="1" applyFill="1" applyBorder="1" applyAlignment="1">
      <alignment horizontal="center" wrapText="1"/>
    </xf>
    <xf numFmtId="164" fontId="24" fillId="3" borderId="0" xfId="0" applyNumberFormat="1" applyFont="1" applyFill="1" applyBorder="1" applyAlignment="1">
      <alignment horizontal="right" wrapText="1"/>
    </xf>
    <xf numFmtId="3" fontId="21" fillId="7" borderId="4" xfId="0" applyNumberFormat="1" applyFont="1" applyFill="1" applyBorder="1" applyAlignment="1">
      <alignment horizontal="right" wrapText="1"/>
    </xf>
    <xf numFmtId="0" fontId="21" fillId="7" borderId="4" xfId="0" applyFont="1" applyFill="1" applyBorder="1" applyAlignment="1">
      <alignment vertical="center" wrapText="1"/>
    </xf>
    <xf numFmtId="0" fontId="21" fillId="7" borderId="4" xfId="0" applyFont="1" applyFill="1" applyBorder="1" applyAlignment="1">
      <alignment horizontal="center" wrapText="1"/>
    </xf>
    <xf numFmtId="164" fontId="21" fillId="7" borderId="7" xfId="0" applyNumberFormat="1" applyFont="1" applyFill="1" applyBorder="1" applyAlignment="1">
      <alignment horizontal="right" wrapText="1"/>
    </xf>
    <xf numFmtId="0" fontId="21" fillId="7" borderId="7" xfId="0" applyFont="1" applyFill="1" applyBorder="1" applyAlignment="1">
      <alignment horizontal="center" wrapText="1"/>
    </xf>
    <xf numFmtId="0" fontId="21" fillId="7" borderId="0" xfId="0" applyFont="1" applyFill="1" applyAlignment="1">
      <alignment horizontal="right" vertical="center" wrapText="1"/>
    </xf>
    <xf numFmtId="0" fontId="21" fillId="7" borderId="1" xfId="0" applyFont="1" applyFill="1" applyBorder="1" applyAlignment="1">
      <alignment horizontal="right" vertical="center" wrapText="1"/>
    </xf>
    <xf numFmtId="0" fontId="21" fillId="7" borderId="5" xfId="0" applyFont="1" applyFill="1" applyBorder="1" applyAlignment="1">
      <alignment horizontal="right" vertical="center" wrapText="1"/>
    </xf>
    <xf numFmtId="0" fontId="24" fillId="7" borderId="5" xfId="0" applyFont="1" applyFill="1" applyBorder="1" applyAlignment="1">
      <alignment horizontal="right" vertical="center" wrapText="1"/>
    </xf>
    <xf numFmtId="0" fontId="24" fillId="7" borderId="0" xfId="0" applyFont="1" applyFill="1" applyBorder="1" applyAlignment="1">
      <alignment horizontal="right" vertical="center" wrapText="1"/>
    </xf>
    <xf numFmtId="49" fontId="40" fillId="3" borderId="11" xfId="0" applyNumberFormat="1" applyFont="1" applyFill="1" applyBorder="1" applyAlignment="1">
      <alignment horizontal="center" vertical="center" wrapText="1"/>
    </xf>
    <xf numFmtId="3" fontId="24" fillId="3" borderId="11" xfId="0" applyNumberFormat="1" applyFont="1" applyFill="1" applyBorder="1" applyAlignment="1">
      <alignment horizontal="right" vertical="center" wrapText="1"/>
    </xf>
    <xf numFmtId="0" fontId="21" fillId="3" borderId="4" xfId="0" applyFont="1" applyFill="1" applyBorder="1" applyAlignment="1">
      <alignment horizontal="justify" vertical="center" wrapText="1"/>
    </xf>
    <xf numFmtId="0" fontId="39" fillId="7" borderId="0" xfId="0" applyFont="1" applyFill="1" applyBorder="1" applyAlignment="1">
      <alignment horizontal="justify" vertical="center" wrapText="1"/>
    </xf>
    <xf numFmtId="49" fontId="39" fillId="3" borderId="10" xfId="0" applyNumberFormat="1" applyFont="1" applyFill="1" applyBorder="1" applyAlignment="1">
      <alignment horizontal="left" vertical="center" wrapText="1"/>
    </xf>
    <xf numFmtId="49" fontId="46" fillId="3" borderId="11" xfId="0" applyNumberFormat="1" applyFont="1" applyFill="1" applyBorder="1" applyAlignment="1">
      <alignment horizontal="left" vertical="center" wrapText="1"/>
    </xf>
    <xf numFmtId="49" fontId="39" fillId="3" borderId="10" xfId="0" applyNumberFormat="1" applyFont="1" applyFill="1" applyBorder="1" applyAlignment="1">
      <alignment horizontal="left" vertical="center" wrapText="1" indent="2"/>
    </xf>
    <xf numFmtId="49" fontId="46" fillId="3" borderId="11" xfId="0" applyNumberFormat="1" applyFont="1" applyFill="1" applyBorder="1" applyAlignment="1">
      <alignment horizontal="left" wrapText="1"/>
    </xf>
    <xf numFmtId="49" fontId="39" fillId="3" borderId="1" xfId="0" applyNumberFormat="1" applyFont="1" applyFill="1" applyBorder="1" applyAlignment="1">
      <alignment horizontal="left" vertical="center" wrapText="1" indent="2"/>
    </xf>
    <xf numFmtId="3" fontId="39" fillId="7" borderId="1" xfId="0" applyNumberFormat="1" applyFont="1" applyFill="1" applyBorder="1" applyAlignment="1">
      <alignment horizontal="right" vertical="center" wrapText="1"/>
    </xf>
    <xf numFmtId="14" fontId="21" fillId="7" borderId="0" xfId="0" applyNumberFormat="1" applyFont="1" applyFill="1" applyBorder="1" applyAlignment="1">
      <alignment horizontal="right" vertical="center" wrapText="1"/>
    </xf>
    <xf numFmtId="164" fontId="5" fillId="7" borderId="0" xfId="0" applyNumberFormat="1" applyFont="1" applyFill="1" applyBorder="1" applyAlignment="1">
      <alignment horizontal="right" wrapText="1"/>
    </xf>
    <xf numFmtId="164" fontId="4" fillId="7" borderId="5" xfId="0" applyNumberFormat="1" applyFont="1" applyFill="1" applyBorder="1" applyAlignment="1">
      <alignment horizontal="right" wrapText="1"/>
    </xf>
    <xf numFmtId="164" fontId="40" fillId="7" borderId="11" xfId="0" applyNumberFormat="1" applyFont="1" applyFill="1" applyBorder="1" applyAlignment="1">
      <alignment horizontal="right" wrapText="1"/>
    </xf>
    <xf numFmtId="3" fontId="21" fillId="7" borderId="1" xfId="0" applyNumberFormat="1" applyFont="1" applyFill="1" applyBorder="1" applyAlignment="1">
      <alignment horizontal="right" wrapText="1"/>
    </xf>
    <xf numFmtId="0" fontId="40" fillId="7" borderId="0" xfId="0" applyFont="1" applyFill="1" applyBorder="1" applyAlignment="1">
      <alignment horizontal="right" wrapText="1"/>
    </xf>
    <xf numFmtId="164" fontId="40" fillId="7" borderId="6" xfId="0" applyNumberFormat="1" applyFont="1" applyFill="1" applyBorder="1" applyAlignment="1">
      <alignment horizontal="right" wrapText="1"/>
    </xf>
    <xf numFmtId="164" fontId="39" fillId="7" borderId="1" xfId="0" applyNumberFormat="1" applyFont="1" applyFill="1" applyBorder="1" applyAlignment="1">
      <alignment horizontal="right" vertical="center" wrapText="1"/>
    </xf>
    <xf numFmtId="0" fontId="75" fillId="7" borderId="0" xfId="0" applyFont="1" applyFill="1" applyAlignment="1">
      <alignment vertical="center" wrapText="1"/>
    </xf>
    <xf numFmtId="0" fontId="75" fillId="7" borderId="0" xfId="0" applyFont="1" applyFill="1" applyAlignment="1">
      <alignment vertical="center"/>
    </xf>
    <xf numFmtId="164" fontId="40" fillId="7" borderId="1" xfId="0" applyNumberFormat="1" applyFont="1" applyFill="1" applyBorder="1" applyAlignment="1">
      <alignment horizontal="right" vertical="center" wrapText="1"/>
    </xf>
    <xf numFmtId="164" fontId="40" fillId="7" borderId="6" xfId="0" applyNumberFormat="1" applyFont="1" applyFill="1" applyBorder="1" applyAlignment="1">
      <alignment horizontal="right" vertical="center" wrapText="1"/>
    </xf>
    <xf numFmtId="0" fontId="4" fillId="7" borderId="0" xfId="0" applyFont="1" applyFill="1" applyBorder="1" applyAlignment="1">
      <alignment vertical="center" wrapText="1"/>
    </xf>
    <xf numFmtId="0" fontId="24" fillId="7" borderId="0" xfId="0" applyFont="1" applyFill="1" applyBorder="1" applyAlignment="1">
      <alignment vertical="center" wrapText="1"/>
    </xf>
    <xf numFmtId="0" fontId="105" fillId="3" borderId="0" xfId="0" applyFont="1" applyFill="1" applyBorder="1" applyAlignment="1">
      <alignment vertical="center" wrapText="1"/>
    </xf>
    <xf numFmtId="164" fontId="39" fillId="0" borderId="7" xfId="0" applyNumberFormat="1" applyFont="1" applyFill="1" applyBorder="1" applyAlignment="1">
      <alignment horizontal="right" vertical="center" wrapText="1"/>
    </xf>
    <xf numFmtId="3" fontId="28" fillId="0" borderId="5" xfId="0" applyNumberFormat="1" applyFont="1" applyFill="1" applyBorder="1"/>
    <xf numFmtId="3" fontId="31" fillId="0" borderId="5" xfId="0" applyNumberFormat="1" applyFont="1" applyFill="1" applyBorder="1"/>
    <xf numFmtId="3" fontId="21" fillId="0" borderId="0" xfId="0" applyNumberFormat="1" applyFont="1" applyFill="1" applyBorder="1" applyAlignment="1">
      <alignment horizontal="right" wrapText="1"/>
    </xf>
    <xf numFmtId="3" fontId="21" fillId="0" borderId="1" xfId="0" applyNumberFormat="1" applyFont="1" applyFill="1" applyBorder="1" applyAlignment="1">
      <alignment horizontal="right" wrapText="1"/>
    </xf>
    <xf numFmtId="3" fontId="21" fillId="0" borderId="0" xfId="0" applyNumberFormat="1" applyFont="1" applyFill="1" applyBorder="1" applyAlignment="1">
      <alignment horizontal="justify" vertical="top" wrapText="1"/>
    </xf>
    <xf numFmtId="3" fontId="40" fillId="0" borderId="9" xfId="0" applyNumberFormat="1" applyFont="1" applyFill="1" applyBorder="1" applyAlignment="1">
      <alignment horizontal="justify" vertical="top" wrapText="1"/>
    </xf>
    <xf numFmtId="3" fontId="40" fillId="0" borderId="11" xfId="0" applyNumberFormat="1" applyFont="1" applyFill="1" applyBorder="1" applyAlignment="1">
      <alignment horizontal="justify" vertical="top" wrapText="1"/>
    </xf>
    <xf numFmtId="3" fontId="24" fillId="0" borderId="4" xfId="0" applyNumberFormat="1" applyFont="1" applyFill="1" applyBorder="1" applyAlignment="1">
      <alignment horizontal="justify" vertical="top" wrapText="1"/>
    </xf>
    <xf numFmtId="0" fontId="21" fillId="3" borderId="4" xfId="0" applyFont="1" applyFill="1" applyBorder="1" applyAlignment="1">
      <alignment horizontal="center" vertical="center" wrapText="1"/>
    </xf>
    <xf numFmtId="0" fontId="40" fillId="0" borderId="0" xfId="0" applyFont="1" applyBorder="1" applyAlignment="1">
      <alignment vertical="center"/>
    </xf>
    <xf numFmtId="171" fontId="40" fillId="0" borderId="0" xfId="0" applyNumberFormat="1" applyFont="1"/>
    <xf numFmtId="170" fontId="24" fillId="7" borderId="6" xfId="0" applyNumberFormat="1" applyFont="1" applyFill="1" applyBorder="1" applyAlignment="1">
      <alignment horizontal="right" vertical="center" wrapText="1"/>
    </xf>
    <xf numFmtId="0" fontId="5" fillId="0" borderId="9" xfId="0" applyFont="1" applyFill="1" applyBorder="1" applyAlignment="1">
      <alignment horizontal="right" vertical="center" wrapText="1"/>
    </xf>
    <xf numFmtId="0" fontId="39" fillId="0" borderId="7" xfId="0" applyFont="1" applyFill="1" applyBorder="1" applyAlignment="1">
      <alignment horizontal="right" vertical="center" wrapText="1"/>
    </xf>
    <xf numFmtId="164" fontId="24" fillId="0" borderId="7" xfId="0" applyNumberFormat="1" applyFont="1" applyFill="1" applyBorder="1" applyAlignment="1">
      <alignment horizontal="right" vertical="center" wrapText="1"/>
    </xf>
    <xf numFmtId="0" fontId="39" fillId="0" borderId="6" xfId="0" applyFont="1" applyFill="1" applyBorder="1" applyAlignment="1">
      <alignment horizontal="right" vertical="center" wrapText="1"/>
    </xf>
    <xf numFmtId="164" fontId="24" fillId="0" borderId="6" xfId="0" applyNumberFormat="1" applyFont="1" applyFill="1" applyBorder="1" applyAlignment="1">
      <alignment horizontal="right" vertical="center" wrapText="1"/>
    </xf>
    <xf numFmtId="0" fontId="110" fillId="0" borderId="0" xfId="0" applyFont="1" applyAlignment="1">
      <alignment vertical="center" wrapText="1"/>
    </xf>
    <xf numFmtId="0" fontId="39" fillId="0" borderId="10" xfId="0" applyFont="1" applyFill="1" applyBorder="1" applyAlignment="1">
      <alignment horizontal="right" vertical="center" wrapText="1"/>
    </xf>
    <xf numFmtId="0" fontId="21" fillId="7" borderId="2" xfId="0" applyFont="1" applyFill="1" applyBorder="1" applyAlignment="1">
      <alignment horizontal="right" vertical="center" wrapText="1"/>
    </xf>
    <xf numFmtId="14" fontId="39" fillId="2" borderId="1" xfId="0" applyNumberFormat="1" applyFont="1" applyFill="1" applyBorder="1" applyAlignment="1">
      <alignment horizontal="right" vertical="center" wrapText="1"/>
    </xf>
    <xf numFmtId="0" fontId="24" fillId="7" borderId="1" xfId="0" applyFont="1" applyFill="1" applyBorder="1" applyAlignment="1">
      <alignment horizontal="right" vertical="center" wrapText="1"/>
    </xf>
    <xf numFmtId="14" fontId="39" fillId="0" borderId="1" xfId="0" applyNumberFormat="1" applyFont="1" applyBorder="1" applyAlignment="1">
      <alignment horizontal="right" vertical="center" wrapText="1"/>
    </xf>
    <xf numFmtId="0" fontId="70" fillId="0" borderId="0" xfId="0" applyFont="1" applyAlignment="1">
      <alignment horizontal="justify" vertical="center"/>
    </xf>
    <xf numFmtId="0" fontId="39" fillId="0" borderId="0" xfId="0" applyFont="1" applyBorder="1" applyAlignment="1">
      <alignment horizontal="right" vertical="center" wrapText="1"/>
    </xf>
    <xf numFmtId="0" fontId="39" fillId="0" borderId="1" xfId="0" applyFont="1" applyBorder="1" applyAlignment="1">
      <alignment horizontal="right" vertical="center" wrapText="1"/>
    </xf>
    <xf numFmtId="0" fontId="24" fillId="7" borderId="1" xfId="0" applyFont="1" applyFill="1" applyBorder="1" applyAlignment="1">
      <alignment vertical="center" wrapText="1"/>
    </xf>
    <xf numFmtId="173" fontId="21" fillId="7" borderId="4" xfId="0" applyNumberFormat="1" applyFont="1" applyFill="1" applyBorder="1" applyAlignment="1">
      <alignment horizontal="right" wrapText="1"/>
    </xf>
    <xf numFmtId="0" fontId="44" fillId="3" borderId="0" xfId="0" applyFont="1" applyFill="1" applyBorder="1" applyAlignment="1">
      <alignment horizontal="center" vertical="center" wrapText="1"/>
    </xf>
    <xf numFmtId="3" fontId="24" fillId="3" borderId="0" xfId="0" applyNumberFormat="1" applyFont="1" applyFill="1" applyBorder="1" applyAlignment="1">
      <alignment horizontal="right" vertical="center" wrapText="1"/>
    </xf>
    <xf numFmtId="0" fontId="40" fillId="0" borderId="9" xfId="0" applyFont="1" applyFill="1" applyBorder="1" applyAlignment="1">
      <alignment wrapText="1"/>
    </xf>
    <xf numFmtId="0" fontId="40" fillId="0" borderId="10" xfId="0" applyFont="1" applyFill="1" applyBorder="1" applyAlignment="1">
      <alignment vertical="center" wrapText="1"/>
    </xf>
    <xf numFmtId="14" fontId="44" fillId="3" borderId="0" xfId="0" applyNumberFormat="1" applyFont="1" applyFill="1" applyBorder="1" applyAlignment="1">
      <alignment horizontal="right" vertical="center" wrapText="1"/>
    </xf>
    <xf numFmtId="0" fontId="20" fillId="0" borderId="0" xfId="0" applyFont="1" applyBorder="1" applyAlignment="1">
      <alignment horizontal="center" vertical="center"/>
    </xf>
    <xf numFmtId="165" fontId="24" fillId="3" borderId="0" xfId="0" applyNumberFormat="1" applyFont="1" applyFill="1" applyBorder="1" applyAlignment="1">
      <alignment horizontal="right" vertical="center" wrapText="1"/>
    </xf>
    <xf numFmtId="164" fontId="5" fillId="3" borderId="0" xfId="0" applyNumberFormat="1" applyFont="1" applyFill="1" applyBorder="1" applyAlignment="1">
      <alignment horizontal="right"/>
    </xf>
    <xf numFmtId="165" fontId="4" fillId="3" borderId="0" xfId="0" applyNumberFormat="1" applyFont="1" applyFill="1" applyBorder="1" applyAlignment="1">
      <alignment horizontal="right" vertical="center" wrapText="1"/>
    </xf>
    <xf numFmtId="0" fontId="4" fillId="3" borderId="0" xfId="0" applyFont="1" applyFill="1" applyBorder="1" applyAlignment="1">
      <alignment horizontal="right" vertical="center" wrapText="1"/>
    </xf>
    <xf numFmtId="0" fontId="39" fillId="0" borderId="0" xfId="0" applyFont="1" applyAlignment="1">
      <alignment horizontal="right" vertical="center" wrapText="1"/>
    </xf>
    <xf numFmtId="164" fontId="0" fillId="3" borderId="0" xfId="0" applyNumberFormat="1" applyFill="1"/>
    <xf numFmtId="164" fontId="39" fillId="0" borderId="10" xfId="0" applyNumberFormat="1" applyFont="1" applyFill="1" applyBorder="1" applyAlignment="1">
      <alignment horizontal="right" wrapText="1"/>
    </xf>
    <xf numFmtId="3" fontId="39" fillId="0" borderId="9" xfId="0" applyNumberFormat="1" applyFont="1" applyFill="1" applyBorder="1" applyAlignment="1">
      <alignment horizontal="right" vertical="center" wrapText="1"/>
    </xf>
    <xf numFmtId="3" fontId="39" fillId="0" borderId="10" xfId="0" applyNumberFormat="1" applyFont="1" applyFill="1" applyBorder="1" applyAlignment="1">
      <alignment horizontal="right" vertical="center" wrapText="1"/>
    </xf>
    <xf numFmtId="49" fontId="39" fillId="0" borderId="9" xfId="0" applyNumberFormat="1" applyFont="1" applyFill="1" applyBorder="1" applyAlignment="1">
      <alignment horizontal="left" vertical="center" wrapText="1" indent="2"/>
    </xf>
    <xf numFmtId="3" fontId="0" fillId="3" borderId="0" xfId="0" applyNumberFormat="1" applyFill="1" applyAlignment="1">
      <alignment horizontal="center" vertical="center"/>
    </xf>
    <xf numFmtId="164" fontId="0" fillId="0" borderId="0" xfId="0" applyNumberFormat="1" applyAlignment="1">
      <alignment horizontal="center" vertical="center"/>
    </xf>
    <xf numFmtId="0" fontId="24" fillId="0" borderId="1" xfId="0" applyFont="1" applyBorder="1" applyAlignment="1">
      <alignment vertical="center" wrapText="1"/>
    </xf>
    <xf numFmtId="0" fontId="111" fillId="0" borderId="0" xfId="0" applyFont="1" applyAlignment="1">
      <alignment vertical="center"/>
    </xf>
    <xf numFmtId="0" fontId="70" fillId="0" borderId="0" xfId="0" applyFont="1" applyAlignment="1">
      <alignment vertical="center"/>
    </xf>
    <xf numFmtId="164" fontId="39" fillId="3" borderId="11" xfId="0" applyNumberFormat="1" applyFont="1" applyFill="1" applyBorder="1" applyAlignment="1">
      <alignment vertical="center" wrapText="1"/>
    </xf>
    <xf numFmtId="164" fontId="39" fillId="3" borderId="10" xfId="0" applyNumberFormat="1" applyFont="1" applyFill="1" applyBorder="1" applyAlignment="1">
      <alignment vertical="center" wrapText="1"/>
    </xf>
    <xf numFmtId="0" fontId="21" fillId="0" borderId="1" xfId="0" applyFont="1" applyBorder="1" applyAlignment="1">
      <alignment vertical="center" wrapText="1"/>
    </xf>
    <xf numFmtId="3" fontId="21" fillId="3" borderId="0" xfId="0" applyNumberFormat="1" applyFont="1" applyFill="1" applyBorder="1" applyAlignment="1">
      <alignment vertical="center" wrapText="1"/>
    </xf>
    <xf numFmtId="3" fontId="24" fillId="3" borderId="10" xfId="0" applyNumberFormat="1" applyFont="1" applyFill="1" applyBorder="1" applyAlignment="1">
      <alignment horizontal="right" wrapText="1"/>
    </xf>
    <xf numFmtId="3" fontId="0" fillId="0" borderId="0" xfId="0" applyNumberFormat="1" applyAlignment="1">
      <alignment horizontal="right"/>
    </xf>
    <xf numFmtId="3" fontId="0" fillId="0" borderId="0" xfId="0" applyNumberFormat="1" applyFont="1" applyAlignment="1">
      <alignment vertical="center"/>
    </xf>
    <xf numFmtId="14" fontId="39" fillId="7" borderId="9" xfId="0" applyNumberFormat="1" applyFont="1" applyFill="1" applyBorder="1" applyAlignment="1">
      <alignment horizontal="center" vertical="center" wrapText="1"/>
    </xf>
    <xf numFmtId="165" fontId="40" fillId="7" borderId="9" xfId="0" applyNumberFormat="1" applyFont="1" applyFill="1" applyBorder="1" applyAlignment="1">
      <alignment horizontal="right" vertical="center" wrapText="1"/>
    </xf>
    <xf numFmtId="3" fontId="21" fillId="0" borderId="4" xfId="0" applyNumberFormat="1" applyFont="1" applyFill="1" applyBorder="1" applyAlignment="1">
      <alignment horizontal="right" vertical="center" wrapText="1"/>
    </xf>
    <xf numFmtId="3" fontId="20" fillId="0" borderId="0" xfId="0" applyNumberFormat="1" applyFont="1" applyFill="1" applyAlignment="1">
      <alignment vertical="center"/>
    </xf>
    <xf numFmtId="3" fontId="0" fillId="0" borderId="0" xfId="0" applyNumberFormat="1" applyFill="1" applyAlignment="1">
      <alignment vertical="center"/>
    </xf>
    <xf numFmtId="0" fontId="115" fillId="0" borderId="0" xfId="0" applyFont="1"/>
    <xf numFmtId="164" fontId="5" fillId="7" borderId="11" xfId="0" applyNumberFormat="1" applyFont="1" applyFill="1" applyBorder="1" applyAlignment="1">
      <alignment horizontal="right" vertical="center" wrapText="1"/>
    </xf>
    <xf numFmtId="164" fontId="4" fillId="7" borderId="4" xfId="0" applyNumberFormat="1" applyFont="1" applyFill="1" applyBorder="1" applyAlignment="1">
      <alignment horizontal="right" vertical="center" wrapText="1"/>
    </xf>
    <xf numFmtId="164" fontId="4" fillId="3" borderId="4" xfId="0" applyNumberFormat="1" applyFont="1" applyFill="1" applyBorder="1" applyAlignment="1">
      <alignment horizontal="right" vertical="center" wrapText="1"/>
    </xf>
    <xf numFmtId="0" fontId="115" fillId="3" borderId="0" xfId="0" applyFont="1" applyFill="1" applyAlignment="1">
      <alignment vertical="center" wrapText="1"/>
    </xf>
    <xf numFmtId="164" fontId="5" fillId="3" borderId="0" xfId="0" applyNumberFormat="1" applyFont="1" applyFill="1" applyBorder="1" applyAlignment="1">
      <alignment horizontal="right" vertical="center" wrapText="1"/>
    </xf>
    <xf numFmtId="3" fontId="31" fillId="0" borderId="0" xfId="0" applyNumberFormat="1" applyFont="1" applyFill="1" applyAlignment="1"/>
    <xf numFmtId="3" fontId="28" fillId="0" borderId="5" xfId="0" applyNumberFormat="1" applyFont="1" applyFill="1" applyBorder="1" applyAlignment="1">
      <alignment horizontal="justify"/>
    </xf>
    <xf numFmtId="0" fontId="21" fillId="3" borderId="0" xfId="0" applyFont="1" applyFill="1" applyBorder="1" applyAlignment="1">
      <alignment vertical="center" wrapText="1"/>
    </xf>
    <xf numFmtId="0" fontId="21" fillId="3" borderId="1" xfId="0" applyFont="1" applyFill="1" applyBorder="1" applyAlignment="1">
      <alignment vertical="center" wrapText="1"/>
    </xf>
    <xf numFmtId="164" fontId="5" fillId="3" borderId="11" xfId="0" applyNumberFormat="1" applyFont="1" applyFill="1" applyBorder="1" applyAlignment="1">
      <alignment horizontal="right" wrapText="1"/>
    </xf>
    <xf numFmtId="164" fontId="4" fillId="3" borderId="4" xfId="0" applyNumberFormat="1" applyFont="1" applyFill="1" applyBorder="1" applyAlignment="1">
      <alignment horizontal="right" wrapText="1"/>
    </xf>
    <xf numFmtId="3" fontId="4" fillId="3" borderId="1" xfId="0" applyNumberFormat="1" applyFont="1" applyFill="1" applyBorder="1" applyAlignment="1">
      <alignment horizontal="right" wrapText="1"/>
    </xf>
    <xf numFmtId="3" fontId="40" fillId="2" borderId="0" xfId="0" applyNumberFormat="1" applyFont="1" applyFill="1" applyAlignment="1">
      <alignment vertical="center" wrapText="1"/>
    </xf>
    <xf numFmtId="0" fontId="39" fillId="0" borderId="0" xfId="0" applyFont="1" applyAlignment="1">
      <alignment wrapText="1"/>
    </xf>
    <xf numFmtId="3" fontId="40" fillId="3" borderId="6" xfId="0" applyNumberFormat="1" applyFont="1" applyFill="1" applyBorder="1" applyAlignment="1">
      <alignment vertical="center" wrapText="1"/>
    </xf>
    <xf numFmtId="0" fontId="40" fillId="0" borderId="9" xfId="0" applyFont="1" applyFill="1" applyBorder="1" applyAlignment="1">
      <alignment horizontal="left" vertical="center" wrapText="1"/>
    </xf>
    <xf numFmtId="164" fontId="24" fillId="0" borderId="4" xfId="0" applyNumberFormat="1" applyFont="1" applyFill="1" applyBorder="1" applyAlignment="1">
      <alignment horizontal="right" vertical="center" wrapText="1"/>
    </xf>
    <xf numFmtId="0" fontId="21" fillId="3" borderId="1" xfId="0" applyFont="1" applyFill="1" applyBorder="1" applyAlignment="1">
      <alignment vertical="center" wrapText="1"/>
    </xf>
    <xf numFmtId="164" fontId="21" fillId="0" borderId="9" xfId="0" applyNumberFormat="1" applyFont="1" applyFill="1" applyBorder="1" applyAlignment="1">
      <alignment vertical="center" wrapText="1"/>
    </xf>
    <xf numFmtId="164" fontId="40" fillId="0" borderId="9" xfId="0" applyNumberFormat="1" applyFont="1" applyFill="1" applyBorder="1" applyAlignment="1">
      <alignment horizontal="right" wrapText="1"/>
    </xf>
    <xf numFmtId="3" fontId="39" fillId="0" borderId="10" xfId="0" applyNumberFormat="1" applyFont="1" applyFill="1" applyBorder="1" applyAlignment="1">
      <alignment horizontal="right" wrapText="1"/>
    </xf>
    <xf numFmtId="164" fontId="24" fillId="0" borderId="10" xfId="0" applyNumberFormat="1" applyFont="1" applyFill="1" applyBorder="1" applyAlignment="1">
      <alignment horizontal="right" wrapText="1"/>
    </xf>
    <xf numFmtId="164" fontId="40" fillId="0" borderId="10" xfId="0" applyNumberFormat="1" applyFont="1" applyFill="1" applyBorder="1" applyAlignment="1">
      <alignment horizontal="right" wrapText="1"/>
    </xf>
    <xf numFmtId="164" fontId="39" fillId="0" borderId="0" xfId="0" applyNumberFormat="1" applyFont="1" applyFill="1" applyBorder="1" applyAlignment="1">
      <alignment horizontal="right" wrapText="1"/>
    </xf>
    <xf numFmtId="0" fontId="40" fillId="0" borderId="9" xfId="0" applyFont="1" applyFill="1" applyBorder="1" applyAlignment="1">
      <alignment vertical="center" wrapText="1"/>
    </xf>
    <xf numFmtId="0" fontId="40" fillId="0" borderId="9" xfId="0" applyFont="1" applyFill="1" applyBorder="1" applyAlignment="1">
      <alignment horizontal="center" wrapText="1"/>
    </xf>
    <xf numFmtId="164" fontId="40" fillId="0" borderId="9" xfId="0" applyNumberFormat="1" applyFont="1" applyFill="1" applyBorder="1" applyAlignment="1">
      <alignment vertical="center" wrapText="1"/>
    </xf>
    <xf numFmtId="164" fontId="5" fillId="0" borderId="9" xfId="0" applyNumberFormat="1" applyFont="1" applyFill="1" applyBorder="1" applyAlignment="1">
      <alignment horizontal="right" vertical="center" wrapText="1"/>
    </xf>
    <xf numFmtId="0" fontId="40" fillId="0" borderId="10" xfId="0" applyFont="1" applyFill="1" applyBorder="1" applyAlignment="1">
      <alignment horizontal="center" wrapText="1"/>
    </xf>
    <xf numFmtId="0" fontId="0" fillId="0" borderId="0" xfId="0" applyFill="1" applyAlignment="1">
      <alignment vertical="center"/>
    </xf>
    <xf numFmtId="0" fontId="40" fillId="0" borderId="11" xfId="0" applyFont="1" applyFill="1" applyBorder="1" applyAlignment="1">
      <alignment wrapText="1"/>
    </xf>
    <xf numFmtId="0" fontId="40" fillId="0" borderId="11" xfId="0" applyFont="1" applyFill="1" applyBorder="1" applyAlignment="1">
      <alignment horizontal="center" wrapText="1"/>
    </xf>
    <xf numFmtId="0" fontId="7" fillId="0" borderId="0" xfId="0" applyFont="1" applyAlignment="1">
      <alignment vertical="center" wrapText="1"/>
    </xf>
    <xf numFmtId="0" fontId="39" fillId="0" borderId="0" xfId="0" applyFont="1" applyFill="1" applyBorder="1" applyAlignment="1">
      <alignment vertical="center" wrapText="1"/>
    </xf>
    <xf numFmtId="3" fontId="24" fillId="0" borderId="10" xfId="0" applyNumberFormat="1" applyFont="1" applyFill="1" applyBorder="1" applyAlignment="1">
      <alignment horizontal="right" vertical="center" wrapText="1"/>
    </xf>
    <xf numFmtId="0" fontId="5" fillId="3" borderId="9" xfId="0" applyFont="1" applyFill="1" applyBorder="1" applyAlignment="1">
      <alignment horizontal="center" vertical="center" wrapText="1"/>
    </xf>
    <xf numFmtId="164" fontId="5" fillId="7" borderId="9" xfId="0" applyNumberFormat="1" applyFont="1" applyFill="1" applyBorder="1" applyAlignment="1">
      <alignment horizontal="right" vertical="center" wrapText="1"/>
    </xf>
    <xf numFmtId="0" fontId="39" fillId="0" borderId="10"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9" xfId="0" applyFont="1" applyFill="1" applyBorder="1" applyAlignment="1">
      <alignment horizontal="center" vertical="center" wrapText="1"/>
    </xf>
    <xf numFmtId="164" fontId="5" fillId="0" borderId="10" xfId="0" applyNumberFormat="1" applyFont="1" applyFill="1" applyBorder="1" applyAlignment="1">
      <alignment horizontal="right" vertical="center" wrapText="1"/>
    </xf>
    <xf numFmtId="164" fontId="4" fillId="0" borderId="10" xfId="0" applyNumberFormat="1" applyFont="1" applyFill="1" applyBorder="1" applyAlignment="1">
      <alignment horizontal="right" vertical="center" wrapText="1"/>
    </xf>
    <xf numFmtId="0" fontId="39" fillId="0" borderId="9" xfId="0" applyFont="1" applyFill="1" applyBorder="1" applyAlignment="1">
      <alignment vertical="center" wrapText="1"/>
    </xf>
    <xf numFmtId="164" fontId="5" fillId="0" borderId="9" xfId="0" applyNumberFormat="1" applyFont="1" applyFill="1" applyBorder="1" applyAlignment="1">
      <alignment horizontal="right" wrapText="1"/>
    </xf>
    <xf numFmtId="164" fontId="4" fillId="0" borderId="9" xfId="0" applyNumberFormat="1" applyFont="1" applyFill="1" applyBorder="1" applyAlignment="1">
      <alignment horizontal="right" wrapText="1"/>
    </xf>
    <xf numFmtId="0" fontId="21" fillId="0" borderId="9" xfId="0" applyFont="1" applyFill="1" applyBorder="1" applyAlignment="1">
      <alignment wrapText="1"/>
    </xf>
    <xf numFmtId="0" fontId="21" fillId="0" borderId="9" xfId="0" applyFont="1" applyFill="1" applyBorder="1" applyAlignment="1">
      <alignment vertical="center" wrapText="1"/>
    </xf>
    <xf numFmtId="164" fontId="21" fillId="0" borderId="9" xfId="0" applyNumberFormat="1" applyFont="1" applyFill="1" applyBorder="1" applyAlignment="1">
      <alignment horizontal="right" wrapText="1"/>
    </xf>
    <xf numFmtId="164" fontId="4" fillId="0" borderId="9" xfId="0" applyNumberFormat="1" applyFont="1" applyFill="1" applyBorder="1" applyAlignment="1">
      <alignment horizontal="right" vertical="center" wrapText="1"/>
    </xf>
    <xf numFmtId="164" fontId="21" fillId="0" borderId="9" xfId="0" applyNumberFormat="1" applyFont="1" applyFill="1" applyBorder="1" applyAlignment="1">
      <alignment horizontal="right" vertical="center" wrapText="1"/>
    </xf>
    <xf numFmtId="0" fontId="39" fillId="0" borderId="9" xfId="0" applyFont="1" applyFill="1" applyBorder="1" applyAlignment="1">
      <alignment horizontal="center" wrapText="1"/>
    </xf>
    <xf numFmtId="3" fontId="40" fillId="0" borderId="9" xfId="0" applyNumberFormat="1" applyFont="1" applyFill="1" applyBorder="1" applyAlignment="1">
      <alignment horizontal="right" wrapText="1"/>
    </xf>
    <xf numFmtId="0" fontId="24" fillId="0" borderId="9" xfId="0" applyFont="1" applyFill="1" applyBorder="1" applyAlignment="1">
      <alignment wrapText="1"/>
    </xf>
    <xf numFmtId="0" fontId="24" fillId="0" borderId="9" xfId="0" applyFont="1" applyFill="1" applyBorder="1" applyAlignment="1">
      <alignment vertical="center" wrapText="1"/>
    </xf>
    <xf numFmtId="0" fontId="24" fillId="0" borderId="9" xfId="0" applyFont="1" applyFill="1" applyBorder="1" applyAlignment="1">
      <alignment horizontal="center" vertical="center" wrapText="1"/>
    </xf>
    <xf numFmtId="3" fontId="21" fillId="0" borderId="9" xfId="0" applyNumberFormat="1" applyFont="1" applyFill="1" applyBorder="1" applyAlignment="1">
      <alignment horizontal="right" wrapText="1"/>
    </xf>
    <xf numFmtId="164" fontId="21" fillId="0" borderId="9" xfId="0" applyNumberFormat="1" applyFont="1" applyFill="1" applyBorder="1" applyAlignment="1">
      <alignment wrapText="1"/>
    </xf>
    <xf numFmtId="0" fontId="39" fillId="0" borderId="0" xfId="0" applyFont="1" applyFill="1" applyBorder="1" applyAlignment="1">
      <alignment horizontal="center" vertical="center" wrapText="1"/>
    </xf>
    <xf numFmtId="3" fontId="21" fillId="0" borderId="0" xfId="0" applyNumberFormat="1" applyFont="1" applyFill="1" applyBorder="1" applyAlignment="1">
      <alignment horizontal="right" vertical="center" wrapText="1"/>
    </xf>
    <xf numFmtId="0" fontId="39" fillId="0" borderId="10" xfId="0" applyFont="1" applyFill="1" applyBorder="1" applyAlignment="1">
      <alignment vertical="center" wrapText="1"/>
    </xf>
    <xf numFmtId="3" fontId="40" fillId="0" borderId="10" xfId="0" applyNumberFormat="1" applyFont="1" applyFill="1" applyBorder="1" applyAlignment="1">
      <alignment horizontal="right" vertical="center" wrapText="1"/>
    </xf>
    <xf numFmtId="3" fontId="21" fillId="0" borderId="10" xfId="0" applyNumberFormat="1" applyFont="1" applyFill="1" applyBorder="1" applyAlignment="1">
      <alignment horizontal="right" vertical="center" wrapText="1"/>
    </xf>
    <xf numFmtId="0" fontId="39" fillId="0" borderId="9" xfId="0" applyFont="1" applyFill="1" applyBorder="1" applyAlignment="1">
      <alignment horizontal="center" vertical="center" wrapText="1"/>
    </xf>
    <xf numFmtId="3" fontId="21" fillId="0" borderId="9" xfId="0" applyNumberFormat="1" applyFont="1" applyFill="1" applyBorder="1" applyAlignment="1">
      <alignment horizontal="right" vertical="center" wrapText="1"/>
    </xf>
    <xf numFmtId="0" fontId="21" fillId="3" borderId="0" xfId="0" applyFont="1" applyFill="1" applyBorder="1" applyAlignment="1">
      <alignment vertical="center" wrapText="1"/>
    </xf>
    <xf numFmtId="3" fontId="5" fillId="0" borderId="9" xfId="0" applyNumberFormat="1" applyFont="1" applyFill="1" applyBorder="1" applyAlignment="1">
      <alignment horizontal="right" vertical="center" wrapText="1"/>
    </xf>
    <xf numFmtId="0" fontId="21" fillId="3" borderId="0" xfId="0" applyFont="1" applyFill="1" applyBorder="1" applyAlignment="1">
      <alignment vertical="center" wrapText="1"/>
    </xf>
    <xf numFmtId="0" fontId="21" fillId="3" borderId="1" xfId="0" applyFont="1" applyFill="1" applyBorder="1" applyAlignment="1">
      <alignment vertical="center" wrapText="1"/>
    </xf>
    <xf numFmtId="0" fontId="43" fillId="0" borderId="0" xfId="0" applyFont="1" applyAlignment="1">
      <alignment horizontal="left" vertical="center" wrapText="1"/>
    </xf>
    <xf numFmtId="0" fontId="27" fillId="3" borderId="0" xfId="0" applyFont="1" applyFill="1" applyAlignment="1">
      <alignment horizontal="left" vertical="center" wrapText="1"/>
    </xf>
    <xf numFmtId="0" fontId="27" fillId="3" borderId="0" xfId="0" applyFont="1" applyFill="1" applyAlignment="1"/>
    <xf numFmtId="0" fontId="11" fillId="7" borderId="6" xfId="0" applyFont="1" applyFill="1" applyBorder="1" applyAlignment="1">
      <alignment horizontal="right" vertical="center" wrapText="1"/>
    </xf>
    <xf numFmtId="0" fontId="11" fillId="3" borderId="6" xfId="0" applyFont="1" applyFill="1" applyBorder="1" applyAlignment="1">
      <alignment horizontal="right" vertical="center" wrapText="1"/>
    </xf>
    <xf numFmtId="14" fontId="11" fillId="7" borderId="6" xfId="0" applyNumberFormat="1" applyFont="1" applyFill="1" applyBorder="1" applyAlignment="1">
      <alignment horizontal="right" vertical="center" wrapText="1"/>
    </xf>
    <xf numFmtId="14" fontId="11" fillId="3" borderId="6" xfId="0" applyNumberFormat="1" applyFont="1" applyFill="1" applyBorder="1" applyAlignment="1">
      <alignment horizontal="right" vertical="center" wrapText="1"/>
    </xf>
    <xf numFmtId="164" fontId="39" fillId="0" borderId="1" xfId="0" applyNumberFormat="1" applyFont="1" applyBorder="1" applyAlignment="1">
      <alignment horizontal="right" vertical="center" wrapText="1"/>
    </xf>
    <xf numFmtId="0" fontId="79" fillId="0" borderId="0" xfId="0" applyFont="1" applyBorder="1" applyAlignment="1">
      <alignment horizontal="right" wrapText="1"/>
    </xf>
    <xf numFmtId="3" fontId="39" fillId="0" borderId="0" xfId="0" applyNumberFormat="1" applyFont="1" applyFill="1" applyBorder="1" applyAlignment="1">
      <alignment horizontal="right" vertical="center" wrapText="1"/>
    </xf>
    <xf numFmtId="14" fontId="39" fillId="0" borderId="9" xfId="0" applyNumberFormat="1" applyFont="1" applyBorder="1" applyAlignment="1">
      <alignment horizontal="right" vertical="center" wrapText="1"/>
    </xf>
    <xf numFmtId="0" fontId="39" fillId="0" borderId="9" xfId="0" applyFont="1" applyBorder="1" applyAlignment="1">
      <alignment horizontal="right" vertical="center" wrapText="1"/>
    </xf>
    <xf numFmtId="0" fontId="117" fillId="0" borderId="0" xfId="0" applyFont="1" applyAlignment="1">
      <alignment horizontal="justify"/>
    </xf>
    <xf numFmtId="3" fontId="39" fillId="0" borderId="0" xfId="0" applyNumberFormat="1" applyFont="1" applyFill="1" applyBorder="1" applyAlignment="1">
      <alignment horizontal="right" wrapText="1"/>
    </xf>
    <xf numFmtId="14" fontId="39" fillId="0" borderId="0" xfId="0" applyNumberFormat="1" applyFont="1" applyBorder="1" applyAlignment="1">
      <alignment horizontal="right" wrapText="1"/>
    </xf>
    <xf numFmtId="14" fontId="39" fillId="2" borderId="0" xfId="0" applyNumberFormat="1" applyFont="1" applyFill="1" applyBorder="1" applyAlignment="1">
      <alignment horizontal="right" wrapText="1"/>
    </xf>
    <xf numFmtId="14" fontId="81" fillId="7" borderId="6" xfId="0" applyNumberFormat="1" applyFont="1" applyFill="1" applyBorder="1" applyAlignment="1">
      <alignment horizontal="right" vertical="center" wrapText="1"/>
    </xf>
    <xf numFmtId="14" fontId="81" fillId="3" borderId="6" xfId="0" applyNumberFormat="1" applyFont="1" applyFill="1" applyBorder="1" applyAlignment="1">
      <alignment horizontal="right" vertical="center" wrapText="1"/>
    </xf>
    <xf numFmtId="14" fontId="81" fillId="3" borderId="0" xfId="0" applyNumberFormat="1" applyFont="1" applyFill="1" applyBorder="1" applyAlignment="1">
      <alignment horizontal="right" vertical="center" wrapText="1"/>
    </xf>
    <xf numFmtId="0" fontId="81" fillId="7" borderId="6" xfId="0" applyFont="1" applyFill="1" applyBorder="1" applyAlignment="1">
      <alignment horizontal="right" vertical="center" wrapText="1"/>
    </xf>
    <xf numFmtId="0" fontId="81" fillId="3" borderId="6" xfId="0" applyFont="1" applyFill="1" applyBorder="1" applyAlignment="1">
      <alignment horizontal="right" vertical="center" wrapText="1"/>
    </xf>
    <xf numFmtId="164" fontId="39" fillId="0" borderId="0" xfId="0" applyNumberFormat="1" applyFont="1" applyBorder="1" applyAlignment="1">
      <alignment horizontal="right" wrapText="1"/>
    </xf>
    <xf numFmtId="14" fontId="81" fillId="7" borderId="1" xfId="0" applyNumberFormat="1" applyFont="1" applyFill="1" applyBorder="1" applyAlignment="1">
      <alignment horizontal="right" vertical="center" wrapText="1"/>
    </xf>
    <xf numFmtId="14" fontId="81" fillId="3" borderId="1" xfId="0" applyNumberFormat="1" applyFont="1" applyFill="1" applyBorder="1" applyAlignment="1">
      <alignment horizontal="right" vertical="center" wrapText="1"/>
    </xf>
    <xf numFmtId="0" fontId="81" fillId="7" borderId="1" xfId="0" applyFont="1" applyFill="1" applyBorder="1" applyAlignment="1">
      <alignment horizontal="right" vertical="center" wrapText="1"/>
    </xf>
    <xf numFmtId="0" fontId="81" fillId="3" borderId="1" xfId="0" applyFont="1" applyFill="1" applyBorder="1" applyAlignment="1">
      <alignment horizontal="right" vertical="center" wrapText="1"/>
    </xf>
    <xf numFmtId="0" fontId="59" fillId="3" borderId="0" xfId="0" applyFont="1" applyFill="1" applyAlignment="1">
      <alignment vertical="center"/>
    </xf>
    <xf numFmtId="3" fontId="4" fillId="3" borderId="0" xfId="0" applyNumberFormat="1" applyFont="1" applyFill="1" applyBorder="1" applyAlignment="1">
      <alignment horizontal="right" wrapText="1"/>
    </xf>
    <xf numFmtId="0" fontId="20" fillId="0" borderId="4" xfId="0" applyFont="1" applyBorder="1" applyAlignment="1">
      <alignment vertical="center" wrapText="1"/>
    </xf>
    <xf numFmtId="0" fontId="20" fillId="0" borderId="4" xfId="0" applyFont="1" applyBorder="1" applyAlignment="1">
      <alignment wrapText="1"/>
    </xf>
    <xf numFmtId="0" fontId="51" fillId="0" borderId="0" xfId="0" applyFont="1" applyBorder="1" applyAlignment="1">
      <alignment vertical="center"/>
    </xf>
    <xf numFmtId="0" fontId="21" fillId="3" borderId="1" xfId="0" applyFont="1" applyFill="1" applyBorder="1" applyAlignment="1">
      <alignment horizontal="center" wrapText="1"/>
    </xf>
    <xf numFmtId="14" fontId="39" fillId="7" borderId="6" xfId="0" applyNumberFormat="1" applyFont="1" applyFill="1" applyBorder="1" applyAlignment="1">
      <alignment horizontal="center" vertical="center" wrapText="1"/>
    </xf>
    <xf numFmtId="165" fontId="40" fillId="7" borderId="6" xfId="0" applyNumberFormat="1" applyFont="1" applyFill="1" applyBorder="1" applyAlignment="1">
      <alignment horizontal="right" vertical="center" wrapText="1"/>
    </xf>
    <xf numFmtId="0" fontId="75" fillId="0" borderId="0" xfId="0" applyFont="1" applyFill="1" applyAlignment="1"/>
    <xf numFmtId="0" fontId="39" fillId="0" borderId="0" xfId="0" applyFont="1" applyFill="1" applyBorder="1" applyAlignment="1">
      <alignment horizontal="right" vertical="center" wrapText="1"/>
    </xf>
    <xf numFmtId="0" fontId="24" fillId="0" borderId="0" xfId="0" applyFont="1" applyFill="1" applyBorder="1" applyAlignment="1">
      <alignment horizontal="right" vertical="center" wrapText="1"/>
    </xf>
    <xf numFmtId="3" fontId="39" fillId="0" borderId="6" xfId="0" applyNumberFormat="1" applyFont="1" applyFill="1" applyBorder="1" applyAlignment="1">
      <alignment horizontal="right" vertical="center" wrapText="1"/>
    </xf>
    <xf numFmtId="14" fontId="39" fillId="7" borderId="7" xfId="0" applyNumberFormat="1" applyFont="1" applyFill="1" applyBorder="1" applyAlignment="1">
      <alignment horizontal="center" vertical="center" wrapText="1"/>
    </xf>
    <xf numFmtId="0" fontId="39" fillId="7" borderId="7" xfId="0" applyFont="1" applyFill="1" applyBorder="1" applyAlignment="1">
      <alignment horizontal="right" vertical="center" wrapText="1"/>
    </xf>
    <xf numFmtId="164" fontId="39" fillId="7" borderId="7" xfId="0" applyNumberFormat="1" applyFont="1" applyFill="1" applyBorder="1" applyAlignment="1">
      <alignment horizontal="right" vertical="center" wrapText="1"/>
    </xf>
    <xf numFmtId="14" fontId="39" fillId="7" borderId="10" xfId="0" applyNumberFormat="1" applyFont="1" applyFill="1" applyBorder="1" applyAlignment="1">
      <alignment horizontal="center" vertical="center" wrapText="1"/>
    </xf>
    <xf numFmtId="0" fontId="39" fillId="7" borderId="10" xfId="0" applyFont="1" applyFill="1" applyBorder="1" applyAlignment="1">
      <alignment horizontal="right" vertical="center" wrapText="1"/>
    </xf>
    <xf numFmtId="3" fontId="39" fillId="7" borderId="7" xfId="0" applyNumberFormat="1" applyFont="1" applyFill="1" applyBorder="1" applyAlignment="1">
      <alignment horizontal="right" vertical="center" wrapText="1"/>
    </xf>
    <xf numFmtId="0" fontId="70" fillId="3" borderId="0" xfId="0" applyFont="1" applyFill="1" applyAlignment="1"/>
    <xf numFmtId="14" fontId="44" fillId="7" borderId="1" xfId="0" applyNumberFormat="1" applyFont="1" applyFill="1" applyBorder="1" applyAlignment="1">
      <alignment horizontal="right" vertical="center" wrapText="1"/>
    </xf>
    <xf numFmtId="14" fontId="44" fillId="3" borderId="1" xfId="0" applyNumberFormat="1" applyFont="1" applyFill="1" applyBorder="1" applyAlignment="1">
      <alignment horizontal="right" vertical="center" wrapText="1"/>
    </xf>
    <xf numFmtId="3" fontId="39" fillId="2" borderId="11" xfId="0" applyNumberFormat="1" applyFont="1" applyFill="1" applyBorder="1" applyAlignment="1">
      <alignment horizontal="right" vertical="center" wrapText="1"/>
    </xf>
    <xf numFmtId="0" fontId="39" fillId="2" borderId="11" xfId="0" applyFont="1" applyFill="1" applyBorder="1" applyAlignment="1">
      <alignment horizontal="right" vertical="center" wrapText="1"/>
    </xf>
    <xf numFmtId="3" fontId="24" fillId="2" borderId="11" xfId="0" applyNumberFormat="1" applyFont="1" applyFill="1" applyBorder="1" applyAlignment="1">
      <alignment horizontal="right" vertical="center" wrapText="1"/>
    </xf>
    <xf numFmtId="0" fontId="116" fillId="2" borderId="0" xfId="0" applyFont="1" applyFill="1" applyBorder="1" applyAlignment="1">
      <alignment vertical="center"/>
    </xf>
    <xf numFmtId="3" fontId="39" fillId="0" borderId="11" xfId="0" applyNumberFormat="1" applyFont="1" applyBorder="1" applyAlignment="1">
      <alignment horizontal="right" vertical="center" wrapText="1"/>
    </xf>
    <xf numFmtId="0" fontId="118" fillId="3" borderId="0" xfId="0" applyFont="1" applyFill="1" applyAlignment="1"/>
    <xf numFmtId="0" fontId="21" fillId="3" borderId="5" xfId="0" applyFont="1" applyFill="1" applyBorder="1" applyAlignment="1">
      <alignment horizontal="center" wrapText="1"/>
    </xf>
    <xf numFmtId="0" fontId="21" fillId="3" borderId="0" xfId="0" applyFont="1" applyFill="1" applyBorder="1" applyAlignment="1">
      <alignment horizontal="center" wrapText="1"/>
    </xf>
    <xf numFmtId="0" fontId="24" fillId="3" borderId="1" xfId="0" applyFont="1" applyFill="1" applyBorder="1" applyAlignment="1">
      <alignment horizontal="right" wrapText="1"/>
    </xf>
    <xf numFmtId="0" fontId="21" fillId="3" borderId="1" xfId="0" applyFont="1" applyFill="1" applyBorder="1" applyAlignment="1">
      <alignment horizontal="right" wrapText="1"/>
    </xf>
    <xf numFmtId="3" fontId="24" fillId="3" borderId="0" xfId="0" applyNumberFormat="1" applyFont="1" applyFill="1" applyBorder="1" applyAlignment="1">
      <alignment horizontal="right" vertical="center" wrapText="1"/>
    </xf>
    <xf numFmtId="0" fontId="21" fillId="3" borderId="0" xfId="0" applyFont="1" applyFill="1" applyBorder="1" applyAlignment="1">
      <alignment horizontal="center" vertical="center" wrapText="1"/>
    </xf>
    <xf numFmtId="0" fontId="22" fillId="3" borderId="0" xfId="0" applyFont="1" applyFill="1" applyAlignment="1">
      <alignment vertical="center"/>
    </xf>
    <xf numFmtId="0" fontId="21" fillId="3" borderId="4" xfId="0" applyFont="1" applyFill="1" applyBorder="1" applyAlignment="1">
      <alignment horizontal="center" vertical="center" wrapText="1"/>
    </xf>
    <xf numFmtId="0" fontId="21" fillId="3" borderId="0" xfId="0" applyFont="1" applyFill="1" applyBorder="1" applyAlignment="1">
      <alignment vertical="center" wrapText="1"/>
    </xf>
    <xf numFmtId="3" fontId="24" fillId="3" borderId="0" xfId="0" applyNumberFormat="1" applyFont="1" applyFill="1" applyBorder="1" applyAlignment="1">
      <alignment horizontal="right" vertical="center" wrapText="1"/>
    </xf>
    <xf numFmtId="3" fontId="21" fillId="3" borderId="0" xfId="0" applyNumberFormat="1" applyFont="1" applyFill="1" applyBorder="1" applyAlignment="1">
      <alignment vertical="center" wrapText="1"/>
    </xf>
    <xf numFmtId="0" fontId="40" fillId="0" borderId="0" xfId="0" applyFont="1" applyAlignment="1">
      <alignment vertical="center" wrapText="1"/>
    </xf>
    <xf numFmtId="9" fontId="40" fillId="0" borderId="0" xfId="0" applyNumberFormat="1" applyFont="1" applyBorder="1" applyAlignment="1">
      <alignment horizontal="right" vertical="center" wrapText="1"/>
    </xf>
    <xf numFmtId="0" fontId="40" fillId="0" borderId="0" xfId="0" applyFont="1" applyBorder="1" applyAlignment="1">
      <alignment vertical="center" wrapText="1"/>
    </xf>
    <xf numFmtId="3" fontId="40" fillId="7" borderId="0" xfId="0" applyNumberFormat="1" applyFont="1" applyFill="1" applyBorder="1" applyAlignment="1">
      <alignment horizontal="right" vertical="center" wrapText="1"/>
    </xf>
    <xf numFmtId="0" fontId="40" fillId="7" borderId="0" xfId="0" applyFont="1" applyFill="1" applyBorder="1" applyAlignment="1">
      <alignment horizontal="right" vertical="center" wrapText="1"/>
    </xf>
    <xf numFmtId="0" fontId="40" fillId="0" borderId="0" xfId="0" applyFont="1" applyBorder="1" applyAlignment="1">
      <alignment horizontal="right" vertical="center" wrapText="1"/>
    </xf>
    <xf numFmtId="0" fontId="21" fillId="3" borderId="1" xfId="0" applyFont="1" applyFill="1" applyBorder="1" applyAlignment="1">
      <alignment vertical="center" wrapText="1"/>
    </xf>
    <xf numFmtId="0" fontId="11" fillId="7" borderId="4" xfId="0" applyFont="1" applyFill="1" applyBorder="1" applyAlignment="1">
      <alignment horizontal="right" vertical="center" wrapText="1"/>
    </xf>
    <xf numFmtId="0" fontId="11" fillId="3" borderId="4" xfId="0" applyFont="1" applyFill="1" applyBorder="1" applyAlignment="1">
      <alignment horizontal="right" vertical="center" wrapText="1"/>
    </xf>
    <xf numFmtId="49" fontId="81" fillId="7" borderId="4" xfId="0" applyNumberFormat="1" applyFont="1" applyFill="1" applyBorder="1" applyAlignment="1">
      <alignment horizontal="right" vertical="center" wrapText="1"/>
    </xf>
    <xf numFmtId="49" fontId="81" fillId="3" borderId="4" xfId="0" applyNumberFormat="1" applyFont="1" applyFill="1" applyBorder="1" applyAlignment="1">
      <alignment horizontal="right" vertical="center" wrapText="1"/>
    </xf>
    <xf numFmtId="0" fontId="21" fillId="3" borderId="0" xfId="0" applyFont="1" applyFill="1" applyBorder="1" applyAlignment="1">
      <alignment horizontal="justify" vertical="center" wrapText="1"/>
    </xf>
    <xf numFmtId="164" fontId="24" fillId="0" borderId="0" xfId="0" applyNumberFormat="1" applyFont="1" applyFill="1" applyBorder="1" applyAlignment="1">
      <alignment horizontal="right" vertical="center" wrapText="1"/>
    </xf>
    <xf numFmtId="0" fontId="30" fillId="0" borderId="0" xfId="0" applyFont="1" applyFill="1" applyAlignment="1">
      <alignment vertical="center"/>
    </xf>
    <xf numFmtId="0" fontId="28" fillId="3" borderId="0" xfId="0" applyFont="1" applyFill="1" applyAlignment="1">
      <alignment wrapText="1"/>
    </xf>
    <xf numFmtId="0" fontId="26" fillId="3" borderId="0" xfId="0" applyFont="1" applyFill="1" applyAlignment="1">
      <alignment wrapText="1"/>
    </xf>
    <xf numFmtId="0" fontId="40" fillId="3" borderId="9" xfId="0" applyFont="1" applyFill="1" applyBorder="1" applyAlignment="1">
      <alignment horizontal="left" wrapText="1"/>
    </xf>
    <xf numFmtId="3" fontId="39" fillId="3" borderId="0" xfId="0" applyNumberFormat="1" applyFont="1" applyFill="1" applyAlignment="1">
      <alignment horizontal="justify" vertical="center" wrapText="1"/>
    </xf>
    <xf numFmtId="166" fontId="24" fillId="7" borderId="4" xfId="0" applyNumberFormat="1" applyFont="1" applyFill="1" applyBorder="1" applyAlignment="1">
      <alignment horizontal="right" vertical="center" wrapText="1"/>
    </xf>
    <xf numFmtId="3" fontId="26" fillId="0" borderId="0" xfId="0" applyNumberFormat="1" applyFont="1" applyAlignment="1">
      <alignment horizontal="justify"/>
    </xf>
    <xf numFmtId="3" fontId="26" fillId="0" borderId="0" xfId="0" applyNumberFormat="1" applyFont="1" applyAlignment="1">
      <alignment horizontal="justify" vertical="center"/>
    </xf>
    <xf numFmtId="3" fontId="26" fillId="0" borderId="0" xfId="0" applyNumberFormat="1" applyFont="1" applyFill="1" applyAlignment="1">
      <alignment horizontal="justify"/>
    </xf>
    <xf numFmtId="3" fontId="26" fillId="0" borderId="0" xfId="0" applyNumberFormat="1" applyFont="1" applyFill="1" applyAlignment="1"/>
    <xf numFmtId="3" fontId="112" fillId="3" borderId="1" xfId="0" applyNumberFormat="1" applyFont="1" applyFill="1" applyBorder="1" applyAlignment="1">
      <alignment horizontal="right" vertical="center" wrapText="1"/>
    </xf>
    <xf numFmtId="164" fontId="4" fillId="7" borderId="7" xfId="0" applyNumberFormat="1" applyFont="1" applyFill="1" applyBorder="1" applyAlignment="1">
      <alignment horizontal="right" wrapText="1"/>
    </xf>
    <xf numFmtId="3" fontId="40" fillId="3" borderId="10" xfId="0" applyNumberFormat="1" applyFont="1" applyFill="1" applyBorder="1" applyAlignment="1">
      <alignment vertical="top" wrapText="1"/>
    </xf>
    <xf numFmtId="3" fontId="59" fillId="3" borderId="0" xfId="0" applyNumberFormat="1" applyFont="1" applyFill="1" applyAlignment="1">
      <alignment horizontal="left" vertical="center" wrapText="1"/>
    </xf>
    <xf numFmtId="3" fontId="59" fillId="3" borderId="0" xfId="0" applyNumberFormat="1" applyFont="1" applyFill="1" applyAlignment="1">
      <alignment horizontal="left" vertical="top" wrapText="1"/>
    </xf>
    <xf numFmtId="3" fontId="119" fillId="3" borderId="0" xfId="0" applyNumberFormat="1" applyFont="1" applyFill="1" applyAlignment="1">
      <alignment vertical="center"/>
    </xf>
    <xf numFmtId="3" fontId="26" fillId="3" borderId="0" xfId="0" applyNumberFormat="1" applyFont="1" applyFill="1" applyAlignment="1">
      <alignment horizontal="justify" vertical="center"/>
    </xf>
    <xf numFmtId="3" fontId="58" fillId="3" borderId="0" xfId="0" applyNumberFormat="1" applyFont="1" applyFill="1" applyAlignment="1">
      <alignment vertical="center"/>
    </xf>
    <xf numFmtId="3" fontId="30" fillId="3" borderId="0" xfId="0" applyNumberFormat="1" applyFont="1" applyFill="1" applyAlignment="1">
      <alignment vertical="center" wrapText="1"/>
    </xf>
    <xf numFmtId="164" fontId="24" fillId="7" borderId="10" xfId="0" applyNumberFormat="1" applyFont="1" applyFill="1" applyBorder="1" applyAlignment="1">
      <alignment horizontal="right" wrapText="1"/>
    </xf>
    <xf numFmtId="3" fontId="40" fillId="7" borderId="13" xfId="0" applyNumberFormat="1" applyFont="1" applyFill="1" applyBorder="1" applyAlignment="1">
      <alignment horizontal="right"/>
    </xf>
    <xf numFmtId="3" fontId="40" fillId="3" borderId="13" xfId="0" applyNumberFormat="1" applyFont="1" applyFill="1" applyBorder="1" applyAlignment="1">
      <alignment horizontal="right"/>
    </xf>
    <xf numFmtId="3" fontId="21" fillId="3" borderId="4" xfId="0" applyNumberFormat="1" applyFont="1" applyFill="1" applyBorder="1" applyAlignment="1">
      <alignment horizontal="right" wrapText="1"/>
    </xf>
    <xf numFmtId="3" fontId="26" fillId="3" borderId="0" xfId="0" applyNumberFormat="1" applyFont="1" applyFill="1" applyAlignment="1">
      <alignment horizontal="justify" vertical="top"/>
    </xf>
    <xf numFmtId="3" fontId="122" fillId="3" borderId="0" xfId="0" applyNumberFormat="1" applyFont="1" applyFill="1" applyAlignment="1">
      <alignment vertical="center"/>
    </xf>
    <xf numFmtId="3" fontId="58" fillId="3" borderId="4" xfId="0" applyNumberFormat="1" applyFont="1" applyFill="1" applyBorder="1" applyAlignment="1">
      <alignment vertical="center"/>
    </xf>
    <xf numFmtId="3" fontId="44" fillId="3" borderId="4" xfId="0" applyNumberFormat="1" applyFont="1" applyFill="1" applyBorder="1" applyAlignment="1"/>
    <xf numFmtId="3" fontId="122" fillId="3" borderId="4" xfId="0" applyNumberFormat="1" applyFont="1" applyFill="1" applyBorder="1" applyAlignment="1">
      <alignment horizontal="center"/>
    </xf>
    <xf numFmtId="3" fontId="58" fillId="3" borderId="0" xfId="0" applyNumberFormat="1" applyFont="1" applyFill="1" applyAlignment="1">
      <alignment horizontal="right" vertical="top"/>
    </xf>
    <xf numFmtId="3" fontId="58" fillId="3" borderId="0" xfId="0" applyNumberFormat="1" applyFont="1" applyFill="1" applyAlignment="1">
      <alignment horizontal="left" vertical="center"/>
    </xf>
    <xf numFmtId="3" fontId="44" fillId="3" borderId="1" xfId="0" applyNumberFormat="1" applyFont="1" applyFill="1" applyBorder="1" applyAlignment="1">
      <alignment horizontal="left" vertical="center"/>
    </xf>
    <xf numFmtId="3" fontId="112" fillId="3" borderId="12" xfId="0" applyNumberFormat="1" applyFont="1" applyFill="1" applyBorder="1" applyAlignment="1">
      <alignment horizontal="right" vertical="center" wrapText="1"/>
    </xf>
    <xf numFmtId="3" fontId="112" fillId="3" borderId="4" xfId="0" applyNumberFormat="1" applyFont="1" applyFill="1" applyBorder="1" applyAlignment="1">
      <alignment horizontal="right" vertical="center" wrapText="1"/>
    </xf>
    <xf numFmtId="3" fontId="123" fillId="3" borderId="0" xfId="0" applyNumberFormat="1" applyFont="1" applyFill="1" applyAlignment="1">
      <alignment vertical="center"/>
    </xf>
    <xf numFmtId="3" fontId="78" fillId="3" borderId="4" xfId="0" applyNumberFormat="1" applyFont="1" applyFill="1" applyBorder="1" applyAlignment="1">
      <alignment horizontal="right" vertical="center" wrapText="1"/>
    </xf>
    <xf numFmtId="3" fontId="78" fillId="3" borderId="1" xfId="0" applyNumberFormat="1" applyFont="1" applyFill="1" applyBorder="1" applyAlignment="1">
      <alignment horizontal="right" vertical="center" wrapText="1"/>
    </xf>
    <xf numFmtId="0" fontId="40" fillId="0" borderId="0" xfId="0" applyFont="1" applyAlignment="1">
      <alignment horizontal="left" vertical="center" indent="1"/>
    </xf>
    <xf numFmtId="0" fontId="5" fillId="0" borderId="0" xfId="0" applyFont="1" applyAlignment="1">
      <alignment horizontal="left" vertical="center" indent="1"/>
    </xf>
    <xf numFmtId="0" fontId="40" fillId="3" borderId="1" xfId="0" applyFont="1" applyFill="1" applyBorder="1" applyAlignment="1">
      <alignment horizontal="right" vertical="center" wrapText="1"/>
    </xf>
    <xf numFmtId="0" fontId="44" fillId="7" borderId="4" xfId="0" applyFont="1" applyFill="1" applyBorder="1" applyAlignment="1">
      <alignment horizontal="right" vertical="center" wrapText="1"/>
    </xf>
    <xf numFmtId="0" fontId="44" fillId="3" borderId="4" xfId="0" applyFont="1" applyFill="1" applyBorder="1" applyAlignment="1">
      <alignment horizontal="right" vertical="center" wrapText="1"/>
    </xf>
    <xf numFmtId="3" fontId="24" fillId="7" borderId="10" xfId="0" applyNumberFormat="1" applyFont="1" applyFill="1" applyBorder="1" applyAlignment="1">
      <alignment horizontal="right" wrapText="1"/>
    </xf>
    <xf numFmtId="0" fontId="39" fillId="7" borderId="0" xfId="0" applyFont="1" applyFill="1" applyBorder="1" applyAlignment="1">
      <alignment horizontal="right" wrapText="1"/>
    </xf>
    <xf numFmtId="0" fontId="39" fillId="3" borderId="0" xfId="0" applyFont="1" applyFill="1" applyBorder="1" applyAlignment="1">
      <alignment horizontal="right" wrapText="1"/>
    </xf>
    <xf numFmtId="3" fontId="39" fillId="7" borderId="10" xfId="0" applyNumberFormat="1" applyFont="1" applyFill="1" applyBorder="1" applyAlignment="1">
      <alignment horizontal="right" wrapText="1"/>
    </xf>
    <xf numFmtId="0" fontId="39" fillId="7" borderId="0" xfId="0" applyFont="1" applyFill="1" applyAlignment="1">
      <alignment horizontal="right" wrapText="1"/>
    </xf>
    <xf numFmtId="0" fontId="39" fillId="3" borderId="0" xfId="0" applyFont="1" applyFill="1" applyAlignment="1">
      <alignment horizontal="right" wrapText="1"/>
    </xf>
    <xf numFmtId="3" fontId="24" fillId="7" borderId="1" xfId="0" applyNumberFormat="1" applyFont="1" applyFill="1" applyBorder="1" applyAlignment="1">
      <alignment horizontal="right" wrapText="1"/>
    </xf>
    <xf numFmtId="3" fontId="24" fillId="3" borderId="1" xfId="0" applyNumberFormat="1" applyFont="1" applyFill="1" applyBorder="1" applyAlignment="1">
      <alignment horizontal="right" wrapText="1"/>
    </xf>
    <xf numFmtId="3" fontId="58" fillId="3" borderId="0" xfId="0" applyNumberFormat="1" applyFont="1" applyFill="1" applyAlignment="1">
      <alignment horizontal="right" vertical="center"/>
    </xf>
    <xf numFmtId="0" fontId="26" fillId="0" borderId="0" xfId="0" applyFont="1" applyAlignment="1">
      <alignment horizontal="justify" vertical="center" wrapText="1"/>
    </xf>
    <xf numFmtId="14" fontId="112" fillId="7" borderId="6" xfId="0" applyNumberFormat="1" applyFont="1" applyFill="1" applyBorder="1" applyAlignment="1">
      <alignment horizontal="center" vertical="center" wrapText="1"/>
    </xf>
    <xf numFmtId="14" fontId="112" fillId="3" borderId="6" xfId="0" applyNumberFormat="1" applyFont="1" applyFill="1" applyBorder="1" applyAlignment="1">
      <alignment horizontal="center" vertical="center" wrapText="1"/>
    </xf>
    <xf numFmtId="0" fontId="35" fillId="0" borderId="0" xfId="0" applyFont="1" applyAlignment="1">
      <alignment horizontal="right" vertical="center" wrapText="1"/>
    </xf>
    <xf numFmtId="0" fontId="35" fillId="0" borderId="6" xfId="0" applyFont="1" applyBorder="1" applyAlignment="1">
      <alignment horizontal="right" vertical="center" wrapText="1"/>
    </xf>
    <xf numFmtId="0" fontId="35" fillId="0" borderId="7" xfId="0" applyFont="1" applyBorder="1" applyAlignment="1">
      <alignment horizontal="right" vertical="center" wrapText="1"/>
    </xf>
    <xf numFmtId="0" fontId="35" fillId="0" borderId="1" xfId="0" applyFont="1" applyBorder="1" applyAlignment="1">
      <alignment horizontal="right" vertical="center" wrapText="1"/>
    </xf>
    <xf numFmtId="0" fontId="35" fillId="0" borderId="0" xfId="0" applyFont="1" applyBorder="1" applyAlignment="1">
      <alignment horizontal="right" vertical="center" wrapText="1"/>
    </xf>
    <xf numFmtId="164" fontId="24" fillId="7" borderId="7" xfId="0" applyNumberFormat="1" applyFont="1" applyFill="1" applyBorder="1" applyAlignment="1">
      <alignment wrapText="1"/>
    </xf>
    <xf numFmtId="0" fontId="30" fillId="3" borderId="7" xfId="0" applyFont="1" applyFill="1" applyBorder="1" applyAlignment="1">
      <alignment wrapText="1"/>
    </xf>
    <xf numFmtId="164" fontId="24" fillId="3" borderId="7" xfId="0" applyNumberFormat="1" applyFont="1" applyFill="1" applyBorder="1" applyAlignment="1">
      <alignment wrapText="1"/>
    </xf>
    <xf numFmtId="0" fontId="35" fillId="0" borderId="11" xfId="0" applyFont="1" applyBorder="1" applyAlignment="1">
      <alignment horizontal="right" vertical="center" wrapText="1"/>
    </xf>
    <xf numFmtId="0" fontId="35" fillId="0" borderId="5" xfId="0" applyFont="1" applyBorder="1" applyAlignment="1">
      <alignment horizontal="right" vertical="center" wrapText="1"/>
    </xf>
    <xf numFmtId="0" fontId="24" fillId="3" borderId="4" xfId="0" applyFont="1" applyFill="1" applyBorder="1" applyAlignment="1">
      <alignment wrapText="1"/>
    </xf>
    <xf numFmtId="0" fontId="25" fillId="3" borderId="4" xfId="0" applyFont="1" applyFill="1" applyBorder="1" applyAlignment="1">
      <alignment vertical="top" wrapText="1"/>
    </xf>
    <xf numFmtId="164" fontId="25" fillId="3" borderId="4" xfId="0" applyNumberFormat="1" applyFont="1" applyFill="1" applyBorder="1" applyAlignment="1">
      <alignment horizontal="right" vertical="top" wrapText="1"/>
    </xf>
    <xf numFmtId="164" fontId="25" fillId="7" borderId="4" xfId="0" applyNumberFormat="1" applyFont="1" applyFill="1" applyBorder="1" applyAlignment="1">
      <alignment horizontal="right" vertical="top" wrapText="1"/>
    </xf>
    <xf numFmtId="164" fontId="4" fillId="7" borderId="4" xfId="0" applyNumberFormat="1" applyFont="1" applyFill="1" applyBorder="1" applyAlignment="1">
      <alignment horizontal="right" wrapText="1"/>
    </xf>
    <xf numFmtId="0" fontId="125" fillId="3" borderId="4" xfId="0" applyFont="1" applyFill="1" applyBorder="1" applyAlignment="1">
      <alignment wrapText="1"/>
    </xf>
    <xf numFmtId="0" fontId="27" fillId="0" borderId="0" xfId="0" applyFont="1" applyAlignment="1">
      <alignment horizontal="justify"/>
    </xf>
    <xf numFmtId="0" fontId="0" fillId="0" borderId="5" xfId="0" applyBorder="1" applyAlignment="1">
      <alignment vertical="center"/>
    </xf>
    <xf numFmtId="0" fontId="77" fillId="0" borderId="5" xfId="0" applyFont="1" applyBorder="1" applyAlignment="1">
      <alignment horizontal="justify" vertical="center"/>
    </xf>
    <xf numFmtId="0" fontId="79" fillId="7" borderId="0" xfId="0" applyFont="1" applyFill="1" applyBorder="1" applyAlignment="1">
      <alignment horizontal="right" vertical="center" wrapText="1"/>
    </xf>
    <xf numFmtId="0" fontId="79" fillId="0" borderId="5" xfId="0" applyFont="1" applyBorder="1" applyAlignment="1">
      <alignment horizontal="right" vertical="center" wrapText="1"/>
    </xf>
    <xf numFmtId="0" fontId="4" fillId="7" borderId="1" xfId="0" applyFont="1" applyFill="1" applyBorder="1" applyAlignment="1">
      <alignment horizontal="right" vertical="center" wrapText="1"/>
    </xf>
    <xf numFmtId="0" fontId="21" fillId="0" borderId="1" xfId="0" applyFont="1" applyBorder="1" applyAlignment="1">
      <alignment horizontal="right" vertical="center" wrapText="1"/>
    </xf>
    <xf numFmtId="0" fontId="40" fillId="3" borderId="5" xfId="0" applyFont="1" applyFill="1" applyBorder="1" applyAlignment="1">
      <alignment horizontal="right" vertical="center" wrapText="1" indent="7"/>
    </xf>
    <xf numFmtId="37" fontId="5" fillId="7" borderId="0" xfId="0" applyNumberFormat="1" applyFont="1" applyFill="1" applyBorder="1" applyAlignment="1">
      <alignment horizontal="right" vertical="center" wrapText="1"/>
    </xf>
    <xf numFmtId="37" fontId="40" fillId="0" borderId="0" xfId="0" applyNumberFormat="1" applyFont="1" applyBorder="1" applyAlignment="1">
      <alignment horizontal="right" vertical="center" wrapText="1"/>
    </xf>
    <xf numFmtId="37" fontId="5" fillId="7" borderId="9" xfId="0" applyNumberFormat="1" applyFont="1" applyFill="1" applyBorder="1" applyAlignment="1">
      <alignment horizontal="right" vertical="center" wrapText="1"/>
    </xf>
    <xf numFmtId="37" fontId="40" fillId="0" borderId="9" xfId="0" applyNumberFormat="1" applyFont="1" applyBorder="1" applyAlignment="1">
      <alignment horizontal="right" vertical="center" wrapText="1"/>
    </xf>
    <xf numFmtId="0" fontId="63" fillId="0" borderId="9" xfId="0" applyFont="1" applyBorder="1" applyAlignment="1">
      <alignment vertical="center" wrapText="1"/>
    </xf>
    <xf numFmtId="37" fontId="5" fillId="7" borderId="6" xfId="0" applyNumberFormat="1" applyFont="1" applyFill="1" applyBorder="1" applyAlignment="1">
      <alignment horizontal="right" vertical="center" wrapText="1"/>
    </xf>
    <xf numFmtId="37" fontId="40" fillId="0" borderId="6" xfId="0" applyNumberFormat="1" applyFont="1" applyBorder="1" applyAlignment="1">
      <alignment horizontal="right" vertical="center" wrapText="1"/>
    </xf>
    <xf numFmtId="37" fontId="21" fillId="7" borderId="1" xfId="0" applyNumberFormat="1" applyFont="1" applyFill="1" applyBorder="1" applyAlignment="1">
      <alignment horizontal="right" vertical="center" wrapText="1"/>
    </xf>
    <xf numFmtId="37" fontId="21" fillId="3" borderId="1" xfId="0" applyNumberFormat="1" applyFont="1" applyFill="1" applyBorder="1" applyAlignment="1">
      <alignment horizontal="right" vertical="center" wrapText="1"/>
    </xf>
    <xf numFmtId="0" fontId="79" fillId="0" borderId="1" xfId="0" applyFont="1" applyBorder="1" applyAlignment="1">
      <alignment horizontal="right" vertical="center" wrapText="1"/>
    </xf>
    <xf numFmtId="0" fontId="73" fillId="3" borderId="5" xfId="0" applyFont="1" applyFill="1" applyBorder="1" applyAlignment="1">
      <alignment vertical="center" wrapText="1"/>
    </xf>
    <xf numFmtId="49" fontId="44" fillId="7" borderId="4" xfId="0" applyNumberFormat="1" applyFont="1" applyFill="1" applyBorder="1" applyAlignment="1">
      <alignment horizontal="right" vertical="center" wrapText="1"/>
    </xf>
    <xf numFmtId="49" fontId="44" fillId="3" borderId="4" xfId="0" applyNumberFormat="1" applyFont="1" applyFill="1" applyBorder="1" applyAlignment="1">
      <alignment horizontal="right" vertical="center" wrapText="1"/>
    </xf>
    <xf numFmtId="0" fontId="113" fillId="7" borderId="0" xfId="0" applyFont="1" applyFill="1" applyBorder="1" applyAlignment="1">
      <alignment horizontal="right" vertical="center" wrapText="1"/>
    </xf>
    <xf numFmtId="0" fontId="113" fillId="0" borderId="0" xfId="0" applyFont="1" applyBorder="1" applyAlignment="1">
      <alignment horizontal="right" vertical="center" wrapText="1"/>
    </xf>
    <xf numFmtId="0" fontId="114" fillId="7" borderId="0" xfId="0" applyFont="1" applyFill="1" applyBorder="1" applyAlignment="1">
      <alignment horizontal="right" vertical="center" wrapText="1"/>
    </xf>
    <xf numFmtId="0" fontId="114" fillId="0" borderId="0" xfId="0" applyFont="1" applyBorder="1" applyAlignment="1">
      <alignment horizontal="right" vertical="center" wrapText="1"/>
    </xf>
    <xf numFmtId="0" fontId="21" fillId="0" borderId="10" xfId="0" applyFont="1" applyBorder="1" applyAlignment="1">
      <alignment wrapText="1"/>
    </xf>
    <xf numFmtId="0" fontId="21" fillId="0" borderId="10" xfId="0" applyFont="1" applyBorder="1" applyAlignment="1">
      <alignment horizontal="left" vertical="center" wrapText="1"/>
    </xf>
    <xf numFmtId="0" fontId="21" fillId="7" borderId="10" xfId="0" applyFont="1" applyFill="1" applyBorder="1" applyAlignment="1">
      <alignment horizontal="right" vertical="center" wrapText="1"/>
    </xf>
    <xf numFmtId="0" fontId="21" fillId="0" borderId="10" xfId="0" applyFont="1" applyBorder="1" applyAlignment="1">
      <alignment horizontal="right" vertical="center" wrapText="1"/>
    </xf>
    <xf numFmtId="0" fontId="74" fillId="7" borderId="10" xfId="0" applyFont="1" applyFill="1" applyBorder="1" applyAlignment="1">
      <alignment vertical="center" wrapText="1"/>
    </xf>
    <xf numFmtId="0" fontId="40" fillId="0" borderId="9" xfId="0" applyFont="1" applyBorder="1" applyAlignment="1">
      <alignment wrapText="1"/>
    </xf>
    <xf numFmtId="3" fontId="40" fillId="0" borderId="9" xfId="0" applyNumberFormat="1" applyFont="1" applyBorder="1" applyAlignment="1">
      <alignment horizontal="left" wrapText="1"/>
    </xf>
    <xf numFmtId="3" fontId="40" fillId="0" borderId="9" xfId="0" applyNumberFormat="1" applyFont="1" applyBorder="1" applyAlignment="1">
      <alignment horizontal="right" wrapText="1"/>
    </xf>
    <xf numFmtId="3" fontId="5" fillId="0" borderId="9" xfId="0" applyNumberFormat="1" applyFont="1" applyBorder="1" applyAlignment="1">
      <alignment horizontal="right" wrapText="1"/>
    </xf>
    <xf numFmtId="173" fontId="5" fillId="0" borderId="9" xfId="0" applyNumberFormat="1" applyFont="1" applyBorder="1" applyAlignment="1">
      <alignment horizontal="right" wrapText="1"/>
    </xf>
    <xf numFmtId="0" fontId="40" fillId="0" borderId="9" xfId="0" applyFont="1" applyBorder="1" applyAlignment="1">
      <alignment horizontal="left" wrapText="1"/>
    </xf>
    <xf numFmtId="0" fontId="40" fillId="7" borderId="9" xfId="0" applyFont="1" applyFill="1" applyBorder="1" applyAlignment="1">
      <alignment horizontal="right" wrapText="1"/>
    </xf>
    <xf numFmtId="0" fontId="40" fillId="0" borderId="9" xfId="0" applyFont="1" applyBorder="1" applyAlignment="1">
      <alignment horizontal="right" wrapText="1"/>
    </xf>
    <xf numFmtId="0" fontId="63" fillId="0" borderId="9" xfId="0" applyFont="1" applyBorder="1" applyAlignment="1">
      <alignment wrapText="1"/>
    </xf>
    <xf numFmtId="0" fontId="63" fillId="0" borderId="9" xfId="0" applyFont="1" applyBorder="1" applyAlignment="1">
      <alignment horizontal="left" wrapText="1"/>
    </xf>
    <xf numFmtId="0" fontId="40" fillId="0" borderId="11" xfId="0" applyFont="1" applyBorder="1" applyAlignment="1">
      <alignment wrapText="1"/>
    </xf>
    <xf numFmtId="3" fontId="40" fillId="0" borderId="11" xfId="0" applyNumberFormat="1" applyFont="1" applyBorder="1" applyAlignment="1">
      <alignment horizontal="left" wrapText="1"/>
    </xf>
    <xf numFmtId="3" fontId="40" fillId="0" borderId="11" xfId="0" applyNumberFormat="1" applyFont="1" applyBorder="1" applyAlignment="1">
      <alignment horizontal="right" wrapText="1"/>
    </xf>
    <xf numFmtId="0" fontId="83" fillId="0" borderId="0" xfId="0" applyFont="1" applyAlignment="1">
      <alignment wrapText="1"/>
    </xf>
    <xf numFmtId="0" fontId="83" fillId="0" borderId="0" xfId="0" applyFont="1" applyAlignment="1">
      <alignment horizontal="justify" vertical="center"/>
    </xf>
    <xf numFmtId="0" fontId="27" fillId="0" borderId="0" xfId="0" applyFont="1" applyAlignment="1">
      <alignment horizontal="justify" vertical="center"/>
    </xf>
    <xf numFmtId="0" fontId="42" fillId="0" borderId="5" xfId="0" applyFont="1" applyBorder="1" applyAlignment="1">
      <alignment horizontal="justify" vertical="center"/>
    </xf>
    <xf numFmtId="0" fontId="58" fillId="0" borderId="0" xfId="0" applyFont="1"/>
    <xf numFmtId="0" fontId="0" fillId="7" borderId="0" xfId="0" applyFill="1"/>
    <xf numFmtId="0" fontId="79" fillId="0" borderId="1" xfId="0" applyFont="1" applyBorder="1" applyAlignment="1">
      <alignment horizontal="right" wrapText="1"/>
    </xf>
    <xf numFmtId="0" fontId="58" fillId="3" borderId="0" xfId="0" applyFont="1" applyFill="1" applyAlignment="1">
      <alignment vertical="center"/>
    </xf>
    <xf numFmtId="164" fontId="24" fillId="7" borderId="4" xfId="0" applyNumberFormat="1" applyFont="1" applyFill="1" applyBorder="1" applyAlignment="1">
      <alignment horizontal="right" wrapText="1"/>
    </xf>
    <xf numFmtId="164" fontId="24" fillId="3" borderId="4" xfId="0" applyNumberFormat="1" applyFont="1" applyFill="1" applyBorder="1" applyAlignment="1">
      <alignment horizontal="right" wrapText="1"/>
    </xf>
    <xf numFmtId="3" fontId="24" fillId="0" borderId="9" xfId="0" applyNumberFormat="1" applyFont="1" applyFill="1" applyBorder="1" applyAlignment="1">
      <alignment vertical="center" wrapText="1"/>
    </xf>
    <xf numFmtId="164" fontId="24" fillId="0" borderId="9" xfId="0" applyNumberFormat="1" applyFont="1" applyFill="1" applyBorder="1" applyAlignment="1">
      <alignment horizontal="right" vertical="center" wrapText="1"/>
    </xf>
    <xf numFmtId="0" fontId="27" fillId="0" borderId="0" xfId="0" applyFont="1" applyFill="1" applyAlignment="1">
      <alignment horizontal="left" vertical="top" wrapText="1"/>
    </xf>
    <xf numFmtId="3" fontId="0" fillId="0" borderId="0" xfId="0" applyNumberFormat="1" applyFont="1" applyFill="1" applyAlignment="1">
      <alignment vertical="center"/>
    </xf>
    <xf numFmtId="3" fontId="21" fillId="0" borderId="4" xfId="0" applyNumberFormat="1" applyFont="1" applyFill="1" applyBorder="1" applyAlignment="1">
      <alignment vertical="center" wrapText="1"/>
    </xf>
    <xf numFmtId="3" fontId="21" fillId="0" borderId="0" xfId="0" applyNumberFormat="1" applyFont="1" applyFill="1" applyBorder="1" applyAlignment="1">
      <alignment vertical="center" wrapText="1"/>
    </xf>
    <xf numFmtId="3" fontId="21" fillId="0" borderId="1" xfId="0" applyNumberFormat="1" applyFont="1" applyFill="1" applyBorder="1" applyAlignment="1">
      <alignment vertical="center" wrapText="1"/>
    </xf>
    <xf numFmtId="3" fontId="40" fillId="0" borderId="7" xfId="0" applyNumberFormat="1" applyFont="1" applyFill="1" applyBorder="1" applyAlignment="1">
      <alignment vertical="center" wrapText="1"/>
    </xf>
    <xf numFmtId="3" fontId="21" fillId="0" borderId="7" xfId="0" applyNumberFormat="1" applyFont="1" applyFill="1" applyBorder="1" applyAlignment="1">
      <alignment vertical="center" wrapText="1"/>
    </xf>
    <xf numFmtId="3" fontId="40" fillId="3" borderId="7" xfId="0" applyNumberFormat="1" applyFont="1" applyFill="1" applyBorder="1" applyAlignment="1">
      <alignment vertical="center" wrapText="1"/>
    </xf>
    <xf numFmtId="3" fontId="40" fillId="0" borderId="9" xfId="0" applyNumberFormat="1" applyFont="1" applyFill="1" applyBorder="1" applyAlignment="1">
      <alignment vertical="center" wrapText="1"/>
    </xf>
    <xf numFmtId="3" fontId="39" fillId="7" borderId="9" xfId="0" applyNumberFormat="1" applyFont="1" applyFill="1" applyBorder="1" applyAlignment="1">
      <alignment vertical="center" wrapText="1"/>
    </xf>
    <xf numFmtId="3" fontId="39" fillId="7" borderId="11" xfId="0" applyNumberFormat="1" applyFont="1" applyFill="1" applyBorder="1" applyAlignment="1">
      <alignment vertical="center" wrapText="1"/>
    </xf>
    <xf numFmtId="0" fontId="31" fillId="3" borderId="0" xfId="0" applyFont="1" applyFill="1" applyAlignment="1">
      <alignment vertical="center" wrapText="1"/>
    </xf>
    <xf numFmtId="3" fontId="24" fillId="0" borderId="0" xfId="0" applyNumberFormat="1" applyFont="1" applyFill="1" applyBorder="1" applyAlignment="1">
      <alignment horizontal="right" vertical="center" wrapText="1"/>
    </xf>
    <xf numFmtId="3" fontId="5" fillId="0" borderId="0" xfId="0" applyNumberFormat="1" applyFont="1" applyAlignment="1">
      <alignment horizontal="left" vertical="center" wrapText="1"/>
    </xf>
    <xf numFmtId="3" fontId="21" fillId="3" borderId="0" xfId="0" applyNumberFormat="1" applyFont="1" applyFill="1" applyBorder="1" applyAlignment="1">
      <alignment vertical="center" wrapText="1"/>
    </xf>
    <xf numFmtId="3" fontId="40" fillId="7" borderId="0" xfId="0" applyNumberFormat="1" applyFont="1" applyFill="1" applyBorder="1" applyAlignment="1">
      <alignment horizontal="right" vertical="center" wrapText="1"/>
    </xf>
    <xf numFmtId="3" fontId="40" fillId="3" borderId="11" xfId="0" applyNumberFormat="1" applyFont="1" applyFill="1" applyBorder="1" applyAlignment="1">
      <alignment horizontal="left" vertical="center" wrapText="1"/>
    </xf>
    <xf numFmtId="0" fontId="39" fillId="0" borderId="0" xfId="0" applyFont="1" applyFill="1" applyAlignment="1">
      <alignment horizontal="right" vertical="center" wrapText="1"/>
    </xf>
    <xf numFmtId="3" fontId="21" fillId="0" borderId="0" xfId="0" applyNumberFormat="1" applyFont="1" applyFill="1" applyAlignment="1">
      <alignment vertical="center" wrapText="1"/>
    </xf>
    <xf numFmtId="0" fontId="21" fillId="0" borderId="0" xfId="0" applyFont="1" applyFill="1" applyAlignment="1">
      <alignment vertical="center" wrapText="1"/>
    </xf>
    <xf numFmtId="173" fontId="39" fillId="7" borderId="9" xfId="0" applyNumberFormat="1" applyFont="1" applyFill="1" applyBorder="1" applyAlignment="1">
      <alignment horizontal="right" vertical="center" wrapText="1"/>
    </xf>
    <xf numFmtId="0" fontId="40" fillId="0" borderId="0" xfId="0" applyFont="1" applyAlignment="1">
      <alignment vertical="top" wrapText="1"/>
    </xf>
    <xf numFmtId="0" fontId="39" fillId="0" borderId="0" xfId="0" applyFont="1" applyAlignment="1">
      <alignment horizontal="justify" vertical="top"/>
    </xf>
    <xf numFmtId="0" fontId="60" fillId="0" borderId="0" xfId="0" applyFont="1" applyAlignment="1">
      <alignment horizontal="justify" vertical="center"/>
    </xf>
    <xf numFmtId="3" fontId="51" fillId="0" borderId="0" xfId="0" applyNumberFormat="1" applyFont="1" applyAlignment="1">
      <alignment wrapText="1"/>
    </xf>
    <xf numFmtId="3" fontId="51" fillId="0" borderId="0" xfId="0" applyNumberFormat="1" applyFont="1" applyAlignment="1"/>
    <xf numFmtId="164" fontId="5" fillId="0" borderId="11" xfId="0" applyNumberFormat="1" applyFont="1" applyFill="1" applyBorder="1" applyAlignment="1">
      <alignment horizontal="right" vertical="center" wrapText="1"/>
    </xf>
    <xf numFmtId="3" fontId="5" fillId="0" borderId="0" xfId="0" applyNumberFormat="1" applyFont="1" applyAlignment="1">
      <alignment horizontal="left" vertical="top" wrapText="1"/>
    </xf>
    <xf numFmtId="3" fontId="51" fillId="0" borderId="0" xfId="0" applyNumberFormat="1" applyFont="1" applyAlignment="1">
      <alignment horizontal="left" vertical="center"/>
    </xf>
    <xf numFmtId="3" fontId="5" fillId="3" borderId="10" xfId="0" applyNumberFormat="1" applyFont="1" applyFill="1" applyBorder="1" applyAlignment="1">
      <alignment horizontal="left" vertical="center" wrapText="1"/>
    </xf>
    <xf numFmtId="3" fontId="40" fillId="3" borderId="10" xfId="0" applyNumberFormat="1" applyFont="1" applyFill="1" applyBorder="1" applyAlignment="1">
      <alignment horizontal="left" wrapText="1"/>
    </xf>
    <xf numFmtId="3" fontId="51" fillId="3" borderId="0" xfId="0" applyNumberFormat="1" applyFont="1" applyFill="1" applyAlignment="1">
      <alignment vertical="center"/>
    </xf>
    <xf numFmtId="3" fontId="51" fillId="3" borderId="0" xfId="0" applyNumberFormat="1" applyFont="1" applyFill="1" applyAlignment="1">
      <alignment horizontal="left" vertical="center"/>
    </xf>
    <xf numFmtId="164" fontId="39" fillId="0" borderId="9" xfId="0" applyNumberFormat="1" applyFont="1" applyFill="1" applyBorder="1" applyAlignment="1">
      <alignment horizontal="right" wrapText="1"/>
    </xf>
    <xf numFmtId="164" fontId="39" fillId="0" borderId="11" xfId="0" applyNumberFormat="1" applyFont="1" applyFill="1" applyBorder="1" applyAlignment="1">
      <alignment horizontal="right" wrapText="1"/>
    </xf>
    <xf numFmtId="14" fontId="21" fillId="0" borderId="4" xfId="0" applyNumberFormat="1" applyFont="1" applyBorder="1" applyAlignment="1">
      <alignment horizontal="center" vertical="center" wrapText="1"/>
    </xf>
    <xf numFmtId="0" fontId="30" fillId="3" borderId="0" xfId="0" applyFont="1" applyFill="1" applyAlignment="1">
      <alignment wrapText="1"/>
    </xf>
    <xf numFmtId="0" fontId="35" fillId="0" borderId="0" xfId="0" applyFont="1" applyAlignment="1">
      <alignment vertical="center" wrapText="1"/>
    </xf>
    <xf numFmtId="0" fontId="5" fillId="0" borderId="0" xfId="0" applyFont="1" applyAlignment="1">
      <alignment vertical="center"/>
    </xf>
    <xf numFmtId="0" fontId="44" fillId="3" borderId="0" xfId="0" applyFont="1" applyFill="1" applyBorder="1" applyAlignment="1">
      <alignment horizontal="center" vertical="center" wrapText="1"/>
    </xf>
    <xf numFmtId="3" fontId="98" fillId="3" borderId="10" xfId="0" applyNumberFormat="1" applyFont="1" applyFill="1" applyBorder="1" applyAlignment="1">
      <alignment horizontal="right" wrapText="1"/>
    </xf>
    <xf numFmtId="0" fontId="24" fillId="0" borderId="0" xfId="0" applyFont="1" applyBorder="1" applyAlignment="1">
      <alignment vertical="center" wrapText="1"/>
    </xf>
    <xf numFmtId="3" fontId="46" fillId="7" borderId="11" xfId="0" applyNumberFormat="1" applyFont="1" applyFill="1" applyBorder="1" applyAlignment="1">
      <alignment horizontal="right" vertical="center" wrapText="1"/>
    </xf>
    <xf numFmtId="3" fontId="46" fillId="3" borderId="11" xfId="0" applyNumberFormat="1" applyFont="1" applyFill="1" applyBorder="1" applyAlignment="1">
      <alignment horizontal="right" vertical="center" wrapText="1"/>
    </xf>
    <xf numFmtId="3" fontId="39" fillId="7" borderId="11" xfId="0" applyNumberFormat="1" applyFont="1" applyFill="1" applyBorder="1" applyAlignment="1">
      <alignment horizontal="right" wrapText="1"/>
    </xf>
    <xf numFmtId="3" fontId="39" fillId="3" borderId="11" xfId="0" applyNumberFormat="1" applyFont="1" applyFill="1" applyBorder="1" applyAlignment="1">
      <alignment horizontal="right" wrapText="1"/>
    </xf>
    <xf numFmtId="0" fontId="0" fillId="3" borderId="0" xfId="0" applyFill="1" applyAlignment="1"/>
    <xf numFmtId="0" fontId="24" fillId="3" borderId="4" xfId="0" applyFont="1" applyFill="1" applyBorder="1" applyAlignment="1">
      <alignment horizontal="center" wrapText="1"/>
    </xf>
    <xf numFmtId="3" fontId="24" fillId="7" borderId="4" xfId="0" applyNumberFormat="1" applyFont="1" applyFill="1" applyBorder="1" applyAlignment="1">
      <alignment horizontal="right" wrapText="1"/>
    </xf>
    <xf numFmtId="3" fontId="24" fillId="3" borderId="4" xfId="0" applyNumberFormat="1" applyFont="1" applyFill="1" applyBorder="1" applyAlignment="1">
      <alignment horizontal="right" wrapText="1"/>
    </xf>
    <xf numFmtId="164" fontId="21" fillId="3" borderId="7" xfId="0" applyNumberFormat="1" applyFont="1" applyFill="1" applyBorder="1" applyAlignment="1">
      <alignment horizontal="right" wrapText="1"/>
    </xf>
    <xf numFmtId="3" fontId="63" fillId="7" borderId="11" xfId="0" applyNumberFormat="1" applyFont="1" applyFill="1" applyBorder="1" applyAlignment="1">
      <alignment horizontal="right" wrapText="1"/>
    </xf>
    <xf numFmtId="3" fontId="63" fillId="3" borderId="11" xfId="0" applyNumberFormat="1" applyFont="1" applyFill="1" applyBorder="1" applyAlignment="1">
      <alignment horizontal="right" wrapText="1"/>
    </xf>
    <xf numFmtId="164" fontId="21" fillId="7" borderId="10" xfId="0" applyNumberFormat="1" applyFont="1" applyFill="1" applyBorder="1" applyAlignment="1">
      <alignment horizontal="right" wrapText="1"/>
    </xf>
    <xf numFmtId="164" fontId="21" fillId="3" borderId="10" xfId="0" applyNumberFormat="1" applyFont="1" applyFill="1" applyBorder="1" applyAlignment="1">
      <alignment horizontal="right" wrapText="1"/>
    </xf>
    <xf numFmtId="164" fontId="48" fillId="7" borderId="7" xfId="0" applyNumberFormat="1" applyFont="1" applyFill="1" applyBorder="1" applyAlignment="1">
      <alignment horizontal="right" wrapText="1"/>
    </xf>
    <xf numFmtId="164" fontId="48" fillId="3" borderId="7" xfId="0" applyNumberFormat="1" applyFont="1" applyFill="1" applyBorder="1" applyAlignment="1">
      <alignment horizontal="right" wrapText="1"/>
    </xf>
    <xf numFmtId="164" fontId="98" fillId="3" borderId="10" xfId="0" applyNumberFormat="1" applyFont="1" applyFill="1" applyBorder="1" applyAlignment="1">
      <alignment horizontal="right" wrapText="1"/>
    </xf>
    <xf numFmtId="49" fontId="81" fillId="7" borderId="6" xfId="0" applyNumberFormat="1" applyFont="1" applyFill="1" applyBorder="1" applyAlignment="1">
      <alignment horizontal="right" vertical="center" wrapText="1"/>
    </xf>
    <xf numFmtId="49" fontId="81" fillId="3" borderId="6" xfId="0" applyNumberFormat="1" applyFont="1" applyFill="1" applyBorder="1" applyAlignment="1">
      <alignment horizontal="right" vertical="center" wrapText="1"/>
    </xf>
    <xf numFmtId="49" fontId="31" fillId="3" borderId="0" xfId="0" applyNumberFormat="1" applyFont="1" applyFill="1" applyAlignment="1">
      <alignment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1" fillId="3" borderId="0" xfId="0" applyFont="1" applyFill="1" applyBorder="1" applyAlignment="1">
      <alignment horizontal="right" vertical="center" wrapText="1"/>
    </xf>
    <xf numFmtId="3" fontId="51" fillId="0" borderId="0" xfId="0" applyNumberFormat="1" applyFont="1" applyFill="1" applyAlignment="1">
      <alignment wrapText="1"/>
    </xf>
    <xf numFmtId="0" fontId="18" fillId="3" borderId="7" xfId="0" applyFont="1" applyFill="1" applyBorder="1" applyAlignment="1" applyProtection="1">
      <alignment horizontal="center" vertical="center" wrapText="1"/>
    </xf>
    <xf numFmtId="0" fontId="20" fillId="3" borderId="7" xfId="0" applyFont="1" applyFill="1" applyBorder="1" applyAlignment="1">
      <alignment horizontal="center" vertical="center" wrapText="1"/>
    </xf>
    <xf numFmtId="0" fontId="81" fillId="3" borderId="7" xfId="0" applyFont="1" applyFill="1" applyBorder="1" applyAlignment="1">
      <alignment horizontal="center" vertical="center" wrapText="1"/>
    </xf>
    <xf numFmtId="0" fontId="81" fillId="3" borderId="6"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6" xfId="0" applyFont="1" applyFill="1" applyBorder="1" applyAlignment="1">
      <alignment horizontal="center" vertical="center" wrapText="1"/>
    </xf>
    <xf numFmtId="3" fontId="21" fillId="3" borderId="5" xfId="0" applyNumberFormat="1" applyFont="1" applyFill="1" applyBorder="1" applyAlignment="1">
      <alignment horizontal="left" wrapText="1"/>
    </xf>
    <xf numFmtId="3" fontId="21" fillId="3" borderId="1" xfId="0" applyNumberFormat="1" applyFont="1" applyFill="1" applyBorder="1" applyAlignment="1">
      <alignment horizontal="left" wrapText="1"/>
    </xf>
    <xf numFmtId="3" fontId="21" fillId="3" borderId="0" xfId="0" applyNumberFormat="1" applyFont="1" applyFill="1" applyBorder="1" applyAlignment="1">
      <alignment horizontal="left" wrapText="1"/>
    </xf>
    <xf numFmtId="14" fontId="21" fillId="0" borderId="4" xfId="0" applyNumberFormat="1" applyFont="1" applyBorder="1" applyAlignment="1">
      <alignment horizontal="center" vertical="center" wrapText="1"/>
    </xf>
    <xf numFmtId="0" fontId="20" fillId="3" borderId="5" xfId="0" applyFont="1" applyFill="1" applyBorder="1" applyAlignment="1">
      <alignment horizontal="center" vertical="center"/>
    </xf>
    <xf numFmtId="49" fontId="21" fillId="3" borderId="4" xfId="0" applyNumberFormat="1" applyFont="1" applyFill="1" applyBorder="1" applyAlignment="1">
      <alignment horizontal="center" vertical="center" wrapText="1"/>
    </xf>
    <xf numFmtId="0" fontId="78" fillId="3" borderId="5" xfId="0" applyFont="1" applyFill="1" applyBorder="1" applyAlignment="1">
      <alignment horizontal="center" vertical="center" wrapText="1"/>
    </xf>
    <xf numFmtId="0" fontId="78" fillId="3" borderId="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43" fillId="3" borderId="5" xfId="0" applyFont="1" applyFill="1" applyBorder="1" applyAlignment="1">
      <alignment horizontal="center" vertical="center"/>
    </xf>
    <xf numFmtId="0" fontId="40" fillId="0" borderId="0" xfId="0" applyFont="1" applyBorder="1" applyAlignment="1">
      <alignment vertical="center"/>
    </xf>
    <xf numFmtId="0" fontId="40" fillId="0" borderId="0" xfId="0" applyFont="1" applyAlignment="1">
      <alignment vertical="center"/>
    </xf>
    <xf numFmtId="0" fontId="21" fillId="3" borderId="0" xfId="0" applyFont="1" applyFill="1" applyBorder="1" applyAlignment="1">
      <alignment vertical="center" wrapText="1"/>
    </xf>
    <xf numFmtId="0" fontId="11" fillId="3" borderId="4" xfId="0" applyFont="1" applyFill="1" applyBorder="1" applyAlignment="1">
      <alignment horizontal="center" vertical="center"/>
    </xf>
    <xf numFmtId="3" fontId="24" fillId="0" borderId="0"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3" fontId="20" fillId="0" borderId="4" xfId="0" applyNumberFormat="1" applyFont="1" applyBorder="1" applyAlignment="1">
      <alignment horizontal="center" vertical="center"/>
    </xf>
    <xf numFmtId="3" fontId="24" fillId="3" borderId="0" xfId="0" applyNumberFormat="1" applyFont="1" applyFill="1" applyBorder="1" applyAlignment="1">
      <alignment horizontal="right" vertical="center" wrapText="1"/>
    </xf>
    <xf numFmtId="3" fontId="24" fillId="3" borderId="1" xfId="0" applyNumberFormat="1" applyFont="1" applyFill="1" applyBorder="1" applyAlignment="1">
      <alignment horizontal="right" vertical="center" wrapText="1"/>
    </xf>
    <xf numFmtId="3" fontId="24" fillId="3" borderId="3" xfId="0" applyNumberFormat="1" applyFont="1" applyFill="1" applyBorder="1" applyAlignment="1">
      <alignment horizontal="right" vertical="center" wrapText="1"/>
    </xf>
    <xf numFmtId="3" fontId="24" fillId="0" borderId="3" xfId="0" applyNumberFormat="1" applyFont="1" applyFill="1" applyBorder="1" applyAlignment="1">
      <alignment horizontal="right" vertical="center" wrapText="1"/>
    </xf>
    <xf numFmtId="3" fontId="20" fillId="0" borderId="4" xfId="0" applyNumberFormat="1" applyFont="1" applyFill="1" applyBorder="1" applyAlignment="1">
      <alignment horizontal="center" vertical="center"/>
    </xf>
    <xf numFmtId="3" fontId="24" fillId="3" borderId="8" xfId="0" applyNumberFormat="1" applyFont="1" applyFill="1" applyBorder="1" applyAlignment="1">
      <alignment horizontal="right" vertical="center" wrapText="1"/>
    </xf>
    <xf numFmtId="3" fontId="24" fillId="0" borderId="8" xfId="0" applyNumberFormat="1" applyFont="1" applyFill="1" applyBorder="1" applyAlignment="1">
      <alignment horizontal="right" vertical="center" wrapText="1"/>
    </xf>
    <xf numFmtId="3" fontId="81" fillId="3" borderId="0" xfId="0" applyNumberFormat="1" applyFont="1" applyFill="1" applyBorder="1" applyAlignment="1">
      <alignment vertical="center" wrapText="1"/>
    </xf>
    <xf numFmtId="3" fontId="5" fillId="0" borderId="0" xfId="0" applyNumberFormat="1" applyFont="1" applyAlignment="1">
      <alignment horizontal="left" vertical="center" wrapText="1"/>
    </xf>
    <xf numFmtId="0" fontId="21" fillId="3"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3" fontId="10" fillId="0" borderId="4" xfId="0" applyNumberFormat="1" applyFont="1" applyBorder="1" applyAlignment="1">
      <alignment horizontal="center" vertical="center"/>
    </xf>
    <xf numFmtId="3" fontId="21" fillId="3" borderId="4" xfId="0" applyNumberFormat="1" applyFont="1" applyFill="1" applyBorder="1" applyAlignment="1">
      <alignment horizontal="center" vertical="center"/>
    </xf>
    <xf numFmtId="3" fontId="21" fillId="3" borderId="4" xfId="0" applyNumberFormat="1" applyFont="1" applyFill="1" applyBorder="1" applyAlignment="1">
      <alignment horizontal="center" vertical="center" wrapText="1"/>
    </xf>
    <xf numFmtId="3" fontId="21" fillId="3" borderId="0" xfId="0" applyNumberFormat="1" applyFont="1" applyFill="1" applyBorder="1" applyAlignment="1">
      <alignment vertical="center" wrapText="1"/>
    </xf>
    <xf numFmtId="3" fontId="44" fillId="3" borderId="1" xfId="0" applyNumberFormat="1" applyFont="1" applyFill="1" applyBorder="1" applyAlignment="1">
      <alignment horizontal="center" vertical="center" wrapText="1"/>
    </xf>
    <xf numFmtId="3" fontId="78" fillId="3" borderId="2" xfId="0" applyNumberFormat="1" applyFont="1" applyFill="1" applyBorder="1" applyAlignment="1">
      <alignment horizontal="center" vertical="center" wrapText="1"/>
    </xf>
    <xf numFmtId="3" fontId="81" fillId="0" borderId="4" xfId="0" applyNumberFormat="1" applyFont="1" applyBorder="1" applyAlignment="1">
      <alignment horizontal="center" vertical="center"/>
    </xf>
    <xf numFmtId="3" fontId="38" fillId="3" borderId="4" xfId="0" applyNumberFormat="1" applyFont="1" applyFill="1" applyBorder="1" applyAlignment="1">
      <alignment horizontal="center" vertical="center" wrapText="1"/>
    </xf>
    <xf numFmtId="3" fontId="78" fillId="3" borderId="4" xfId="0" applyNumberFormat="1" applyFont="1" applyFill="1" applyBorder="1" applyAlignment="1">
      <alignment horizontal="center" vertical="center" wrapText="1"/>
    </xf>
    <xf numFmtId="3" fontId="44" fillId="3" borderId="4" xfId="0" applyNumberFormat="1" applyFont="1" applyFill="1" applyBorder="1" applyAlignment="1">
      <alignment horizontal="center" vertical="center" wrapText="1"/>
    </xf>
    <xf numFmtId="3" fontId="44" fillId="3" borderId="4" xfId="0" applyNumberFormat="1" applyFont="1" applyFill="1" applyBorder="1" applyAlignment="1">
      <alignment horizontal="center" vertical="center"/>
    </xf>
    <xf numFmtId="49" fontId="44" fillId="3" borderId="4" xfId="0" applyNumberFormat="1"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24" fillId="3" borderId="5" xfId="0" applyFont="1" applyFill="1" applyBorder="1" applyAlignment="1">
      <alignment horizontal="center" vertical="center" wrapText="1"/>
    </xf>
    <xf numFmtId="0" fontId="124" fillId="3" borderId="1" xfId="0" applyFont="1" applyFill="1" applyBorder="1" applyAlignment="1">
      <alignment horizontal="center" vertical="center" wrapText="1"/>
    </xf>
    <xf numFmtId="0" fontId="112" fillId="3" borderId="5" xfId="0" applyFont="1" applyFill="1" applyBorder="1" applyAlignment="1">
      <alignment horizontal="center" vertical="center" wrapText="1"/>
    </xf>
    <xf numFmtId="0" fontId="112" fillId="3" borderId="1" xfId="0" applyFont="1" applyFill="1" applyBorder="1" applyAlignment="1">
      <alignment horizontal="center" vertical="center" wrapText="1"/>
    </xf>
    <xf numFmtId="49" fontId="44" fillId="7" borderId="4" xfId="0" applyNumberFormat="1" applyFont="1" applyFill="1" applyBorder="1" applyAlignment="1">
      <alignment horizontal="center" vertical="center" wrapText="1"/>
    </xf>
    <xf numFmtId="3" fontId="40" fillId="0" borderId="5"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0" fontId="40" fillId="0" borderId="0" xfId="0" applyFont="1" applyAlignment="1">
      <alignment vertical="center" wrapText="1"/>
    </xf>
    <xf numFmtId="0" fontId="40" fillId="0" borderId="1" xfId="0" applyFont="1" applyBorder="1" applyAlignment="1">
      <alignment vertical="center" wrapText="1"/>
    </xf>
    <xf numFmtId="9" fontId="40" fillId="7" borderId="0" xfId="0" applyNumberFormat="1" applyFont="1" applyFill="1" applyBorder="1" applyAlignment="1">
      <alignment horizontal="right" vertical="center" wrapText="1"/>
    </xf>
    <xf numFmtId="9" fontId="40" fillId="7" borderId="1" xfId="0" applyNumberFormat="1" applyFont="1" applyFill="1" applyBorder="1" applyAlignment="1">
      <alignment horizontal="right" vertical="center" wrapText="1"/>
    </xf>
    <xf numFmtId="165" fontId="40" fillId="7" borderId="0" xfId="0" applyNumberFormat="1" applyFont="1" applyFill="1" applyBorder="1" applyAlignment="1">
      <alignment horizontal="right" vertical="center" wrapText="1"/>
    </xf>
    <xf numFmtId="165" fontId="40" fillId="7" borderId="1" xfId="0" applyNumberFormat="1" applyFont="1" applyFill="1" applyBorder="1" applyAlignment="1">
      <alignment horizontal="right" vertical="center" wrapText="1"/>
    </xf>
    <xf numFmtId="9" fontId="40" fillId="0" borderId="0" xfId="0" applyNumberFormat="1" applyFont="1" applyBorder="1" applyAlignment="1">
      <alignment horizontal="right" vertical="center" wrapText="1"/>
    </xf>
    <xf numFmtId="9" fontId="40" fillId="0" borderId="1" xfId="0" applyNumberFormat="1" applyFont="1" applyBorder="1" applyAlignment="1">
      <alignment horizontal="right" vertical="center" wrapText="1"/>
    </xf>
    <xf numFmtId="165" fontId="40" fillId="0" borderId="0" xfId="0" applyNumberFormat="1" applyFont="1" applyBorder="1" applyAlignment="1">
      <alignment horizontal="right" vertical="center" wrapText="1"/>
    </xf>
    <xf numFmtId="165" fontId="40" fillId="0" borderId="1" xfId="0" applyNumberFormat="1" applyFont="1" applyBorder="1" applyAlignment="1">
      <alignment horizontal="right" vertical="center" wrapText="1"/>
    </xf>
    <xf numFmtId="0" fontId="40" fillId="0" borderId="5" xfId="0" applyFont="1" applyBorder="1" applyAlignment="1">
      <alignment vertical="center" wrapText="1"/>
    </xf>
    <xf numFmtId="9" fontId="40" fillId="7" borderId="5" xfId="0" applyNumberFormat="1" applyFont="1" applyFill="1" applyBorder="1" applyAlignment="1">
      <alignment vertical="center" wrapText="1"/>
    </xf>
    <xf numFmtId="9" fontId="40" fillId="7" borderId="1" xfId="0" applyNumberFormat="1" applyFont="1" applyFill="1" applyBorder="1" applyAlignment="1">
      <alignment vertical="center" wrapText="1"/>
    </xf>
    <xf numFmtId="3" fontId="40" fillId="7" borderId="5" xfId="0" applyNumberFormat="1" applyFont="1" applyFill="1" applyBorder="1" applyAlignment="1">
      <alignment horizontal="right" vertical="center" wrapText="1"/>
    </xf>
    <xf numFmtId="3" fontId="40" fillId="7" borderId="1" xfId="0" applyNumberFormat="1" applyFont="1" applyFill="1" applyBorder="1" applyAlignment="1">
      <alignment horizontal="right" vertical="center" wrapText="1"/>
    </xf>
    <xf numFmtId="9" fontId="40" fillId="0" borderId="5" xfId="0" applyNumberFormat="1" applyFont="1" applyBorder="1" applyAlignment="1">
      <alignment vertical="center" wrapText="1"/>
    </xf>
    <xf numFmtId="9" fontId="40" fillId="0" borderId="1" xfId="0" applyNumberFormat="1" applyFont="1" applyBorder="1" applyAlignment="1">
      <alignment vertical="center" wrapText="1"/>
    </xf>
    <xf numFmtId="1" fontId="40" fillId="0" borderId="5" xfId="0" applyNumberFormat="1" applyFont="1" applyBorder="1" applyAlignment="1">
      <alignment horizontal="right" vertical="center" wrapText="1"/>
    </xf>
    <xf numFmtId="1" fontId="40" fillId="0" borderId="1" xfId="0" applyNumberFormat="1" applyFont="1" applyBorder="1" applyAlignment="1">
      <alignment horizontal="right" vertical="center" wrapText="1"/>
    </xf>
    <xf numFmtId="1" fontId="40" fillId="7" borderId="5" xfId="0" applyNumberFormat="1" applyFont="1" applyFill="1" applyBorder="1" applyAlignment="1">
      <alignment horizontal="right" vertical="center" wrapText="1"/>
    </xf>
    <xf numFmtId="1" fontId="40" fillId="7" borderId="1" xfId="0" applyNumberFormat="1" applyFont="1" applyFill="1" applyBorder="1" applyAlignment="1">
      <alignment horizontal="right" vertical="center" wrapText="1"/>
    </xf>
    <xf numFmtId="0" fontId="63" fillId="0" borderId="5" xfId="0" applyFont="1" applyBorder="1" applyAlignment="1">
      <alignment vertical="center" wrapText="1"/>
    </xf>
    <xf numFmtId="0" fontId="63" fillId="0" borderId="1" xfId="0" applyFont="1" applyBorder="1" applyAlignment="1">
      <alignment vertical="center" wrapText="1"/>
    </xf>
    <xf numFmtId="3" fontId="40" fillId="0" borderId="0" xfId="0" applyNumberFormat="1" applyFont="1" applyBorder="1" applyAlignment="1">
      <alignment horizontal="right" vertical="center" wrapText="1"/>
    </xf>
    <xf numFmtId="0" fontId="40" fillId="0" borderId="0" xfId="0" applyFont="1" applyBorder="1" applyAlignment="1">
      <alignment vertical="center" wrapText="1"/>
    </xf>
    <xf numFmtId="9" fontId="40" fillId="7" borderId="0" xfId="0" applyNumberFormat="1" applyFont="1" applyFill="1" applyBorder="1" applyAlignment="1">
      <alignment vertical="center" wrapText="1"/>
    </xf>
    <xf numFmtId="3" fontId="40" fillId="7" borderId="0" xfId="0" applyNumberFormat="1" applyFont="1" applyFill="1" applyBorder="1" applyAlignment="1">
      <alignment horizontal="right" vertical="center" wrapText="1"/>
    </xf>
    <xf numFmtId="9" fontId="40" fillId="0" borderId="0" xfId="0" applyNumberFormat="1" applyFont="1" applyBorder="1" applyAlignment="1">
      <alignment vertical="center" wrapText="1"/>
    </xf>
    <xf numFmtId="3" fontId="5" fillId="0" borderId="5" xfId="0" applyNumberFormat="1" applyFont="1" applyBorder="1" applyAlignment="1">
      <alignment horizontal="right" vertical="center" wrapText="1"/>
    </xf>
    <xf numFmtId="3" fontId="5" fillId="0" borderId="0" xfId="0" applyNumberFormat="1" applyFont="1" applyBorder="1" applyAlignment="1">
      <alignment horizontal="right" vertical="center" wrapText="1"/>
    </xf>
    <xf numFmtId="10" fontId="40" fillId="7" borderId="0" xfId="0" applyNumberFormat="1" applyFont="1" applyFill="1" applyBorder="1" applyAlignment="1">
      <alignment horizontal="right" vertical="center" wrapText="1"/>
    </xf>
    <xf numFmtId="10" fontId="40" fillId="0" borderId="0" xfId="0" applyNumberFormat="1" applyFont="1" applyBorder="1" applyAlignment="1">
      <alignment horizontal="right" vertical="center" wrapText="1"/>
    </xf>
    <xf numFmtId="0" fontId="40" fillId="7" borderId="5" xfId="0" applyFont="1" applyFill="1" applyBorder="1" applyAlignment="1">
      <alignment horizontal="right" vertical="center" wrapText="1"/>
    </xf>
    <xf numFmtId="0" fontId="40" fillId="7" borderId="0" xfId="0" applyFont="1" applyFill="1" applyBorder="1" applyAlignment="1">
      <alignment horizontal="right" vertical="center" wrapText="1"/>
    </xf>
    <xf numFmtId="3" fontId="5" fillId="7" borderId="5" xfId="0" applyNumberFormat="1" applyFont="1" applyFill="1" applyBorder="1" applyAlignment="1">
      <alignment horizontal="right" vertical="center" wrapText="1"/>
    </xf>
    <xf numFmtId="3" fontId="5" fillId="7" borderId="0" xfId="0" applyNumberFormat="1" applyFont="1" applyFill="1" applyBorder="1" applyAlignment="1">
      <alignment horizontal="right" vertical="center" wrapText="1"/>
    </xf>
    <xf numFmtId="0" fontId="5" fillId="0" borderId="5" xfId="0" applyFont="1" applyBorder="1" applyAlignment="1">
      <alignment horizontal="right" vertical="center" wrapText="1"/>
    </xf>
    <xf numFmtId="0" fontId="5" fillId="0" borderId="0" xfId="0" applyFont="1" applyBorder="1" applyAlignment="1">
      <alignment horizontal="right" vertical="center" wrapText="1"/>
    </xf>
    <xf numFmtId="0" fontId="44" fillId="0" borderId="4" xfId="0" applyFont="1" applyBorder="1" applyAlignment="1">
      <alignment horizontal="center" vertical="center"/>
    </xf>
    <xf numFmtId="0" fontId="44" fillId="0" borderId="4" xfId="0" applyFont="1" applyBorder="1" applyAlignment="1">
      <alignment horizontal="center" vertical="center" wrapText="1"/>
    </xf>
    <xf numFmtId="0" fontId="24"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0" fillId="3" borderId="4" xfId="0" applyFont="1" applyFill="1" applyBorder="1" applyAlignment="1">
      <alignment horizontal="center" vertical="center"/>
    </xf>
    <xf numFmtId="0" fontId="5" fillId="3" borderId="0" xfId="0" applyFont="1" applyFill="1" applyAlignment="1">
      <alignment horizontal="left" vertical="center" wrapText="1"/>
    </xf>
    <xf numFmtId="0" fontId="39" fillId="0" borderId="0" xfId="0" applyFont="1" applyAlignment="1">
      <alignment horizontal="left" vertical="center" wrapText="1"/>
    </xf>
    <xf numFmtId="0" fontId="21" fillId="3" borderId="0" xfId="0" applyFont="1" applyFill="1" applyBorder="1" applyAlignment="1">
      <alignment horizontal="center" vertical="center" wrapText="1"/>
    </xf>
    <xf numFmtId="14" fontId="81" fillId="7" borderId="1" xfId="0" applyNumberFormat="1" applyFont="1" applyFill="1" applyBorder="1" applyAlignment="1">
      <alignment horizontal="center" vertical="center" wrapText="1"/>
    </xf>
    <xf numFmtId="14" fontId="81" fillId="3" borderId="1" xfId="0" applyNumberFormat="1" applyFont="1" applyFill="1" applyBorder="1" applyAlignment="1">
      <alignment horizontal="center" vertical="center" wrapText="1"/>
    </xf>
    <xf numFmtId="49" fontId="81" fillId="7" borderId="4" xfId="0" applyNumberFormat="1" applyFont="1" applyFill="1" applyBorder="1" applyAlignment="1">
      <alignment horizontal="center" vertical="center" wrapText="1"/>
    </xf>
    <xf numFmtId="49" fontId="81" fillId="3" borderId="4" xfId="0" applyNumberFormat="1" applyFont="1" applyFill="1" applyBorder="1" applyAlignment="1">
      <alignment horizontal="center" vertical="center" wrapText="1"/>
    </xf>
    <xf numFmtId="49" fontId="39" fillId="3" borderId="5" xfId="0" applyNumberFormat="1" applyFont="1" applyFill="1" applyBorder="1" applyAlignment="1">
      <alignment horizontal="left" vertical="center" wrapText="1"/>
    </xf>
    <xf numFmtId="49" fontId="39" fillId="3" borderId="1" xfId="0" applyNumberFormat="1" applyFont="1" applyFill="1" applyBorder="1" applyAlignment="1">
      <alignment horizontal="left" vertical="center" wrapText="1"/>
    </xf>
    <xf numFmtId="49" fontId="39" fillId="3" borderId="0" xfId="0" applyNumberFormat="1" applyFont="1" applyFill="1" applyBorder="1" applyAlignment="1">
      <alignment horizontal="justify" vertical="center" wrapText="1"/>
    </xf>
    <xf numFmtId="0" fontId="24" fillId="3" borderId="0" xfId="0" applyFont="1" applyFill="1" applyBorder="1" applyAlignment="1">
      <alignment horizontal="center" wrapText="1"/>
    </xf>
    <xf numFmtId="0" fontId="24" fillId="3" borderId="1" xfId="0" applyFont="1" applyFill="1" applyBorder="1" applyAlignment="1">
      <alignment horizontal="center" wrapText="1"/>
    </xf>
    <xf numFmtId="49" fontId="39" fillId="3" borderId="0" xfId="0" applyNumberFormat="1" applyFont="1" applyFill="1" applyBorder="1" applyAlignment="1">
      <alignment horizontal="left" vertical="center"/>
    </xf>
    <xf numFmtId="49" fontId="39" fillId="3" borderId="1" xfId="0" applyNumberFormat="1" applyFont="1" applyFill="1" applyBorder="1" applyAlignment="1">
      <alignment horizontal="left" vertical="center"/>
    </xf>
    <xf numFmtId="49" fontId="40" fillId="3" borderId="0" xfId="0" applyNumberFormat="1" applyFont="1" applyFill="1" applyBorder="1" applyAlignment="1">
      <alignment horizontal="left" vertical="center"/>
    </xf>
    <xf numFmtId="49" fontId="40" fillId="3" borderId="1" xfId="0" applyNumberFormat="1" applyFont="1" applyFill="1" applyBorder="1" applyAlignment="1">
      <alignment horizontal="left" vertical="center"/>
    </xf>
    <xf numFmtId="0" fontId="21" fillId="3" borderId="0" xfId="0" applyFont="1" applyFill="1" applyBorder="1" applyAlignment="1">
      <alignment horizontal="center" wrapText="1"/>
    </xf>
    <xf numFmtId="0" fontId="21" fillId="3" borderId="1" xfId="0" applyFont="1" applyFill="1" applyBorder="1" applyAlignment="1">
      <alignment horizontal="center" wrapText="1"/>
    </xf>
    <xf numFmtId="49" fontId="39" fillId="3" borderId="0" xfId="0" applyNumberFormat="1" applyFont="1" applyFill="1" applyBorder="1" applyAlignment="1">
      <alignment horizontal="left" vertical="center" wrapText="1"/>
    </xf>
    <xf numFmtId="0" fontId="38" fillId="3" borderId="4" xfId="0" applyFont="1" applyFill="1" applyBorder="1" applyAlignment="1">
      <alignment horizontal="center" vertical="center"/>
    </xf>
    <xf numFmtId="0" fontId="38" fillId="3" borderId="1" xfId="0" applyFont="1" applyFill="1" applyBorder="1" applyAlignment="1">
      <alignment horizontal="center" vertical="center"/>
    </xf>
    <xf numFmtId="0" fontId="52" fillId="3" borderId="5" xfId="0" applyFont="1" applyFill="1" applyBorder="1" applyAlignment="1">
      <alignment horizontal="center"/>
    </xf>
    <xf numFmtId="0" fontId="38" fillId="3" borderId="4" xfId="0" applyFont="1" applyFill="1" applyBorder="1" applyAlignment="1">
      <alignment horizontal="center" vertical="center" wrapText="1"/>
    </xf>
    <xf numFmtId="0" fontId="21" fillId="3" borderId="5" xfId="0" applyFont="1" applyFill="1" applyBorder="1" applyAlignment="1">
      <alignment horizontal="center" wrapText="1"/>
    </xf>
    <xf numFmtId="0" fontId="52" fillId="3" borderId="4" xfId="0" applyFont="1" applyFill="1" applyBorder="1" applyAlignment="1">
      <alignment horizontal="center"/>
    </xf>
    <xf numFmtId="0" fontId="21" fillId="3" borderId="1" xfId="0" applyFont="1" applyFill="1" applyBorder="1" applyAlignment="1">
      <alignment vertical="center" wrapText="1"/>
    </xf>
    <xf numFmtId="0" fontId="21" fillId="3" borderId="4" xfId="0" applyFont="1" applyFill="1" applyBorder="1" applyAlignment="1">
      <alignment horizontal="center" wrapText="1"/>
    </xf>
    <xf numFmtId="3" fontId="40" fillId="3" borderId="11" xfId="0" applyNumberFormat="1" applyFont="1" applyFill="1" applyBorder="1" applyAlignment="1">
      <alignment horizontal="left" vertical="center" wrapText="1"/>
    </xf>
    <xf numFmtId="3" fontId="40" fillId="3" borderId="1" xfId="0" applyNumberFormat="1" applyFont="1" applyFill="1" applyBorder="1" applyAlignment="1">
      <alignment horizontal="left" vertical="center" wrapText="1"/>
    </xf>
    <xf numFmtId="0" fontId="40" fillId="3" borderId="11" xfId="0" applyFont="1" applyFill="1" applyBorder="1" applyAlignment="1">
      <alignment horizontal="left" vertical="center" wrapText="1"/>
    </xf>
    <xf numFmtId="0" fontId="40" fillId="3" borderId="1" xfId="0" applyFont="1" applyFill="1" applyBorder="1" applyAlignment="1">
      <alignment horizontal="left" vertical="center" wrapText="1"/>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1" fillId="7" borderId="3" xfId="0" applyFont="1" applyFill="1" applyBorder="1" applyAlignment="1">
      <alignment horizontal="right" vertical="center" wrapText="1"/>
    </xf>
    <xf numFmtId="0" fontId="21" fillId="7" borderId="1" xfId="0" applyFont="1" applyFill="1" applyBorder="1" applyAlignment="1">
      <alignment horizontal="right" vertical="center" wrapText="1"/>
    </xf>
  </cellXfs>
  <cellStyles count="4">
    <cellStyle name="Normal" xfId="0" builtinId="0"/>
    <cellStyle name="Normal 2" xfId="2"/>
    <cellStyle name="Normal 3" xfId="1"/>
    <cellStyle name="Percent" xfId="3" builtinId="5"/>
  </cellStyles>
  <dxfs count="0"/>
  <tableStyles count="0" defaultTableStyle="TableStyleMedium9" defaultPivotStyle="PivotStyleLight16"/>
  <colors>
    <mruColors>
      <color rgb="FFCCECFF"/>
      <color rgb="FF054F95"/>
      <color rgb="FFFF99FF"/>
      <color rgb="FFFFCC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68"/>
  <sheetViews>
    <sheetView showGridLines="0" tabSelected="1" zoomScale="110" zoomScaleNormal="110" workbookViewId="0">
      <pane ySplit="8" topLeftCell="A9" activePane="bottomLeft" state="frozen"/>
      <selection pane="bottomLeft" activeCell="A9" sqref="A9"/>
    </sheetView>
  </sheetViews>
  <sheetFormatPr defaultRowHeight="15" outlineLevelCol="1" x14ac:dyDescent="0.25"/>
  <cols>
    <col min="1" max="1" width="44.5703125" customWidth="1"/>
    <col min="2" max="2" width="41.5703125" customWidth="1" outlineLevel="1"/>
    <col min="3" max="3" width="12" customWidth="1"/>
    <col min="4" max="8" width="11.42578125" customWidth="1" outlineLevel="1"/>
    <col min="9" max="9" width="3" style="143" customWidth="1"/>
    <col min="10" max="14" width="11" customWidth="1"/>
  </cols>
  <sheetData>
    <row r="1" spans="1:14" x14ac:dyDescent="0.25">
      <c r="A1" s="27" t="s">
        <v>1567</v>
      </c>
      <c r="B1" s="27" t="s">
        <v>1569</v>
      </c>
      <c r="C1" s="27"/>
      <c r="D1" s="27"/>
      <c r="E1" s="27"/>
      <c r="F1" s="27"/>
      <c r="J1" s="27"/>
      <c r="K1" s="27"/>
      <c r="L1" s="27"/>
    </row>
    <row r="2" spans="1:14" x14ac:dyDescent="0.25">
      <c r="A2" s="27" t="s">
        <v>1568</v>
      </c>
      <c r="B2" s="27" t="s">
        <v>1570</v>
      </c>
      <c r="C2" s="27"/>
      <c r="D2" s="27"/>
      <c r="E2" s="27"/>
      <c r="F2" s="27"/>
      <c r="J2" s="27"/>
      <c r="K2" s="27"/>
      <c r="L2" s="27"/>
    </row>
    <row r="3" spans="1:14" ht="15.75" x14ac:dyDescent="0.25">
      <c r="A3" s="59" t="s">
        <v>551</v>
      </c>
      <c r="B3" s="59" t="s">
        <v>557</v>
      </c>
      <c r="C3" s="59"/>
      <c r="D3" s="27"/>
      <c r="E3" s="27"/>
      <c r="F3" s="27"/>
      <c r="J3" s="27"/>
      <c r="K3" s="27"/>
      <c r="L3" s="27"/>
    </row>
    <row r="4" spans="1:14" x14ac:dyDescent="0.25">
      <c r="A4" s="27"/>
      <c r="B4" s="27"/>
      <c r="C4" s="27"/>
      <c r="D4" s="27"/>
      <c r="E4" s="27"/>
      <c r="F4" s="27"/>
      <c r="J4" s="27"/>
      <c r="K4" s="27"/>
      <c r="L4" s="27"/>
      <c r="N4" s="142"/>
    </row>
    <row r="5" spans="1:14" ht="15.75" thickBot="1" x14ac:dyDescent="0.3">
      <c r="A5" s="135" t="s">
        <v>750</v>
      </c>
      <c r="B5" s="135" t="s">
        <v>753</v>
      </c>
      <c r="C5" s="27"/>
      <c r="D5" s="27"/>
      <c r="E5" s="27"/>
      <c r="F5" s="27"/>
      <c r="J5" s="27"/>
      <c r="K5" s="27"/>
      <c r="L5" s="27"/>
      <c r="N5" s="703" t="s">
        <v>1</v>
      </c>
    </row>
    <row r="6" spans="1:14" ht="17.25" customHeight="1" x14ac:dyDescent="0.25">
      <c r="A6" s="156"/>
      <c r="B6" s="156"/>
      <c r="C6" s="157"/>
      <c r="D6" s="1466" t="s">
        <v>949</v>
      </c>
      <c r="E6" s="1466"/>
      <c r="F6" s="1466"/>
      <c r="G6" s="1466"/>
      <c r="H6" s="1466"/>
      <c r="I6" s="144"/>
      <c r="J6" s="1466" t="s">
        <v>1403</v>
      </c>
      <c r="K6" s="1466"/>
      <c r="L6" s="1466"/>
      <c r="M6" s="1466"/>
      <c r="N6" s="1466"/>
    </row>
    <row r="7" spans="1:14" ht="15.75" thickBot="1" x14ac:dyDescent="0.3">
      <c r="A7" s="158"/>
      <c r="B7" s="158"/>
      <c r="C7" s="158"/>
      <c r="D7" s="1219">
        <v>2017</v>
      </c>
      <c r="E7" s="1220">
        <v>2016</v>
      </c>
      <c r="F7" s="1220">
        <v>2015</v>
      </c>
      <c r="G7" s="1220">
        <v>2014</v>
      </c>
      <c r="H7" s="1220">
        <v>2013</v>
      </c>
      <c r="I7" s="1464"/>
      <c r="J7" s="1219">
        <v>2017</v>
      </c>
      <c r="K7" s="1220">
        <v>2016</v>
      </c>
      <c r="L7" s="1220">
        <v>2015</v>
      </c>
      <c r="M7" s="1220">
        <v>2014</v>
      </c>
      <c r="N7" s="1220">
        <v>2013</v>
      </c>
    </row>
    <row r="8" spans="1:14" x14ac:dyDescent="0.25">
      <c r="A8" s="155"/>
      <c r="B8" s="155"/>
      <c r="C8" s="155"/>
      <c r="D8" s="838"/>
      <c r="E8" s="175"/>
      <c r="F8" s="175"/>
      <c r="G8" s="175"/>
      <c r="H8" s="175"/>
      <c r="I8" s="99"/>
      <c r="J8" s="838"/>
      <c r="K8" s="15"/>
      <c r="L8" s="15"/>
      <c r="M8" s="15"/>
      <c r="N8" s="15"/>
    </row>
    <row r="9" spans="1:14" x14ac:dyDescent="0.25">
      <c r="A9" s="89" t="s">
        <v>2</v>
      </c>
      <c r="B9" s="90" t="s">
        <v>194</v>
      </c>
      <c r="C9" s="90"/>
      <c r="D9" s="839">
        <f>'Profit or Loss'!D8</f>
        <v>925627</v>
      </c>
      <c r="E9" s="116">
        <f>'Profit or Loss'!E8</f>
        <v>931619</v>
      </c>
      <c r="F9" s="116">
        <v>929128</v>
      </c>
      <c r="G9" s="116">
        <v>1010757</v>
      </c>
      <c r="H9" s="116">
        <v>1099893</v>
      </c>
      <c r="I9" s="100"/>
      <c r="J9" s="839">
        <f>'Profit or Loss'!G8</f>
        <v>498580</v>
      </c>
      <c r="K9" s="116">
        <f>'Profit or Loss'!H8</f>
        <v>513563</v>
      </c>
      <c r="L9" s="116">
        <v>521146</v>
      </c>
      <c r="M9" s="116">
        <v>564550</v>
      </c>
      <c r="N9" s="116">
        <v>809575</v>
      </c>
    </row>
    <row r="10" spans="1:14" x14ac:dyDescent="0.25">
      <c r="A10" s="89" t="s">
        <v>843</v>
      </c>
      <c r="B10" s="90" t="s">
        <v>842</v>
      </c>
      <c r="C10" s="90"/>
      <c r="D10" s="839">
        <f>'Profit or Loss'!D14-'Profit or Loss'!D12</f>
        <v>541696</v>
      </c>
      <c r="E10" s="116">
        <f>'Profit or Loss'!E14-'Profit or Loss'!E12</f>
        <v>393399</v>
      </c>
      <c r="F10" s="116">
        <v>307015</v>
      </c>
      <c r="G10" s="116">
        <v>236838</v>
      </c>
      <c r="H10" s="116">
        <v>248694</v>
      </c>
      <c r="I10" s="100"/>
      <c r="J10" s="839">
        <f>'Profit or Loss'!G14-'Profit or Loss'!G12</f>
        <v>387100</v>
      </c>
      <c r="K10" s="116">
        <f>'Profit or Loss'!H14-'Profit or Loss'!H12</f>
        <v>241606</v>
      </c>
      <c r="L10" s="116">
        <v>180982</v>
      </c>
      <c r="M10" s="116">
        <v>105052</v>
      </c>
      <c r="N10" s="116">
        <v>121007</v>
      </c>
    </row>
    <row r="11" spans="1:14" x14ac:dyDescent="0.25">
      <c r="A11" s="89" t="s">
        <v>844</v>
      </c>
      <c r="B11" s="90" t="s">
        <v>841</v>
      </c>
      <c r="C11" s="90"/>
      <c r="D11" s="839">
        <f>'Profit or Loss'!D14</f>
        <v>234082</v>
      </c>
      <c r="E11" s="116">
        <f>'Profit or Loss'!E14</f>
        <v>160773</v>
      </c>
      <c r="F11" s="116">
        <v>108188</v>
      </c>
      <c r="G11" s="116">
        <v>49243</v>
      </c>
      <c r="H11" s="116">
        <v>61091</v>
      </c>
      <c r="I11" s="100"/>
      <c r="J11" s="839">
        <f>'Profit or Loss'!G14</f>
        <v>177416</v>
      </c>
      <c r="K11" s="116">
        <f>'Profit or Loss'!H14</f>
        <v>141071</v>
      </c>
      <c r="L11" s="116">
        <v>90475</v>
      </c>
      <c r="M11" s="116">
        <v>18158</v>
      </c>
      <c r="N11" s="116">
        <v>27880</v>
      </c>
    </row>
    <row r="12" spans="1:14" x14ac:dyDescent="0.25">
      <c r="A12" s="89" t="s">
        <v>845</v>
      </c>
      <c r="B12" s="90" t="s">
        <v>840</v>
      </c>
      <c r="C12" s="90"/>
      <c r="D12" s="839">
        <f>'Profit or Loss'!D18</f>
        <v>224114</v>
      </c>
      <c r="E12" s="116">
        <f>'Profit or Loss'!E18</f>
        <v>148945</v>
      </c>
      <c r="F12" s="116">
        <v>92535</v>
      </c>
      <c r="G12" s="116">
        <v>31510</v>
      </c>
      <c r="H12" s="116">
        <v>48841</v>
      </c>
      <c r="I12" s="100"/>
      <c r="J12" s="839">
        <f>'Profit or Loss'!G18</f>
        <v>185906</v>
      </c>
      <c r="K12" s="116">
        <f>'Profit or Loss'!H18</f>
        <v>156290</v>
      </c>
      <c r="L12" s="116">
        <v>103212</v>
      </c>
      <c r="M12" s="116">
        <v>35045</v>
      </c>
      <c r="N12" s="116">
        <v>29928</v>
      </c>
    </row>
    <row r="13" spans="1:14" x14ac:dyDescent="0.25">
      <c r="A13" s="89" t="s">
        <v>546</v>
      </c>
      <c r="B13" s="90" t="s">
        <v>554</v>
      </c>
      <c r="C13" s="90"/>
      <c r="D13" s="839">
        <f>'Profit or Loss'!D21</f>
        <v>322021</v>
      </c>
      <c r="E13" s="116">
        <f>'Profit or Loss'!E21</f>
        <v>130593</v>
      </c>
      <c r="F13" s="116">
        <v>85039</v>
      </c>
      <c r="G13" s="116">
        <v>29790</v>
      </c>
      <c r="H13" s="116">
        <v>46149</v>
      </c>
      <c r="I13" s="100"/>
      <c r="J13" s="839">
        <f>'Profit or Loss'!G21</f>
        <v>150891</v>
      </c>
      <c r="K13" s="116">
        <f>'Profit or Loss'!H21</f>
        <v>137441</v>
      </c>
      <c r="L13" s="116">
        <v>94750</v>
      </c>
      <c r="M13" s="116">
        <v>34800</v>
      </c>
      <c r="N13" s="116">
        <v>25659</v>
      </c>
    </row>
    <row r="14" spans="1:14" x14ac:dyDescent="0.25">
      <c r="A14" s="89" t="s">
        <v>1481</v>
      </c>
      <c r="B14" s="90" t="s">
        <v>1480</v>
      </c>
      <c r="C14" s="90"/>
      <c r="D14" s="840">
        <v>90142</v>
      </c>
      <c r="E14" s="114">
        <v>77413</v>
      </c>
      <c r="F14" s="114">
        <v>31479</v>
      </c>
      <c r="G14" s="114">
        <v>23605</v>
      </c>
      <c r="H14" s="114">
        <v>40618</v>
      </c>
      <c r="I14" s="100"/>
      <c r="J14" s="840">
        <v>90142</v>
      </c>
      <c r="K14" s="114">
        <v>77413</v>
      </c>
      <c r="L14" s="114">
        <v>31479</v>
      </c>
      <c r="M14" s="114">
        <v>23605</v>
      </c>
      <c r="N14" s="114">
        <v>40618</v>
      </c>
    </row>
    <row r="15" spans="1:14" x14ac:dyDescent="0.25">
      <c r="A15" s="89"/>
      <c r="B15" s="90"/>
      <c r="C15" s="90"/>
      <c r="D15" s="841"/>
      <c r="E15" s="151"/>
      <c r="F15" s="151"/>
      <c r="G15" s="151"/>
      <c r="H15" s="151"/>
      <c r="I15" s="145"/>
      <c r="J15" s="841"/>
      <c r="K15" s="151"/>
      <c r="L15" s="151"/>
      <c r="M15" s="151"/>
      <c r="N15" s="151"/>
    </row>
    <row r="16" spans="1:14" x14ac:dyDescent="0.25">
      <c r="A16" s="89" t="s">
        <v>547</v>
      </c>
      <c r="B16" s="90" t="s">
        <v>368</v>
      </c>
      <c r="C16" s="90"/>
      <c r="D16" s="839">
        <f>'Financial Position'!D29</f>
        <v>4415725</v>
      </c>
      <c r="E16" s="116">
        <f>'Financial Position'!E29</f>
        <v>3901231</v>
      </c>
      <c r="F16" s="116">
        <v>3517372</v>
      </c>
      <c r="G16" s="116">
        <v>3486576</v>
      </c>
      <c r="H16" s="116">
        <v>3575358</v>
      </c>
      <c r="I16" s="100"/>
      <c r="J16" s="839">
        <f>'Financial Position'!G29</f>
        <v>3649200</v>
      </c>
      <c r="K16" s="116">
        <f>'Financial Position'!H29</f>
        <v>3204394</v>
      </c>
      <c r="L16" s="116">
        <v>3124054</v>
      </c>
      <c r="M16" s="116">
        <v>3104592</v>
      </c>
      <c r="N16" s="116">
        <v>3231169</v>
      </c>
    </row>
    <row r="17" spans="1:14" x14ac:dyDescent="0.25">
      <c r="A17" s="89" t="s">
        <v>548</v>
      </c>
      <c r="B17" s="90" t="s">
        <v>731</v>
      </c>
      <c r="C17" s="90"/>
      <c r="D17" s="839">
        <f>'Financial Position'!D17</f>
        <v>3343404</v>
      </c>
      <c r="E17" s="116">
        <f>'Financial Position'!E17</f>
        <v>3388954</v>
      </c>
      <c r="F17" s="116">
        <v>3113719</v>
      </c>
      <c r="G17" s="116">
        <v>3109253</v>
      </c>
      <c r="H17" s="116">
        <v>3128064</v>
      </c>
      <c r="I17" s="100"/>
      <c r="J17" s="839">
        <f>'Financial Position'!G17</f>
        <v>2546014</v>
      </c>
      <c r="K17" s="116">
        <f>'Financial Position'!H17</f>
        <v>2626560</v>
      </c>
      <c r="L17" s="116">
        <v>2638048</v>
      </c>
      <c r="M17" s="116">
        <v>2634150</v>
      </c>
      <c r="N17" s="116">
        <v>2678442</v>
      </c>
    </row>
    <row r="18" spans="1:14" x14ac:dyDescent="0.25">
      <c r="A18" s="89" t="s">
        <v>549</v>
      </c>
      <c r="B18" s="90" t="s">
        <v>221</v>
      </c>
      <c r="C18" s="90"/>
      <c r="D18" s="839">
        <f>'Financial Position'!D37</f>
        <v>2846891</v>
      </c>
      <c r="E18" s="116">
        <f>'Financial Position'!E37</f>
        <v>2418713</v>
      </c>
      <c r="F18" s="116">
        <v>2096702</v>
      </c>
      <c r="G18" s="116">
        <v>2020801</v>
      </c>
      <c r="H18" s="116">
        <v>2021714</v>
      </c>
      <c r="I18" s="100"/>
      <c r="J18" s="839">
        <f>'Financial Position'!G37</f>
        <v>2382638</v>
      </c>
      <c r="K18" s="116">
        <f>'Financial Position'!H37</f>
        <v>2177069</v>
      </c>
      <c r="L18" s="116">
        <v>2114900</v>
      </c>
      <c r="M18" s="116">
        <v>2047666</v>
      </c>
      <c r="N18" s="116">
        <v>2042434</v>
      </c>
    </row>
    <row r="19" spans="1:14" x14ac:dyDescent="0.25">
      <c r="A19" s="89" t="s">
        <v>550</v>
      </c>
      <c r="B19" s="90" t="s">
        <v>223</v>
      </c>
      <c r="C19" s="90"/>
      <c r="D19" s="839">
        <f>SUM('Financial Position'!D40,'Financial Position'!D52)</f>
        <v>826757</v>
      </c>
      <c r="E19" s="116">
        <f>SUM('Financial Position'!E40,'Financial Position'!E52)</f>
        <v>791566</v>
      </c>
      <c r="F19" s="116">
        <v>797483</v>
      </c>
      <c r="G19" s="116">
        <v>827222</v>
      </c>
      <c r="H19" s="116">
        <v>944675</v>
      </c>
      <c r="I19" s="100"/>
      <c r="J19" s="839">
        <f>SUM('Financial Position'!G40,'Financial Position'!G52)</f>
        <v>814772</v>
      </c>
      <c r="K19" s="116">
        <f>SUM('Financial Position'!H40,'Financial Position'!H52)</f>
        <v>778323</v>
      </c>
      <c r="L19" s="116">
        <v>782965</v>
      </c>
      <c r="M19" s="116">
        <v>810681</v>
      </c>
      <c r="N19" s="116">
        <v>921370</v>
      </c>
    </row>
    <row r="20" spans="1:14" x14ac:dyDescent="0.25">
      <c r="A20" s="112" t="s">
        <v>1483</v>
      </c>
      <c r="B20" s="90" t="s">
        <v>1482</v>
      </c>
      <c r="C20" s="90"/>
      <c r="D20" s="839">
        <f>D19-'Financial Position'!D27</f>
        <v>590754</v>
      </c>
      <c r="E20" s="116">
        <f>E19-'Financial Position'!E27</f>
        <v>607586</v>
      </c>
      <c r="F20" s="116">
        <v>692940</v>
      </c>
      <c r="G20" s="116">
        <v>706211</v>
      </c>
      <c r="H20" s="116">
        <v>689252</v>
      </c>
      <c r="I20" s="100"/>
      <c r="J20" s="839">
        <f>J19-'Financial Position'!G27</f>
        <v>581917</v>
      </c>
      <c r="K20" s="116">
        <f>K19-'Financial Position'!H27</f>
        <v>597126</v>
      </c>
      <c r="L20" s="116">
        <v>681146</v>
      </c>
      <c r="M20" s="116">
        <v>721715</v>
      </c>
      <c r="N20" s="116">
        <v>676616</v>
      </c>
    </row>
    <row r="21" spans="1:14" x14ac:dyDescent="0.25">
      <c r="A21" s="112"/>
      <c r="B21" s="90"/>
      <c r="C21" s="90"/>
      <c r="D21" s="841"/>
      <c r="E21" s="151"/>
      <c r="F21" s="151"/>
      <c r="G21" s="151"/>
      <c r="H21" s="151"/>
      <c r="I21" s="145"/>
      <c r="J21" s="841"/>
      <c r="K21" s="151"/>
      <c r="L21" s="151"/>
      <c r="M21" s="151"/>
      <c r="N21" s="151"/>
    </row>
    <row r="22" spans="1:14" x14ac:dyDescent="0.25">
      <c r="A22" s="112" t="s">
        <v>460</v>
      </c>
      <c r="B22" s="90" t="s">
        <v>555</v>
      </c>
      <c r="C22" s="90"/>
      <c r="D22" s="839">
        <v>338209</v>
      </c>
      <c r="E22" s="116">
        <v>341186</v>
      </c>
      <c r="F22" s="116">
        <v>246278</v>
      </c>
      <c r="G22" s="116">
        <v>135329</v>
      </c>
      <c r="H22" s="116">
        <v>146540</v>
      </c>
      <c r="I22" s="100"/>
      <c r="J22" s="839">
        <v>202798</v>
      </c>
      <c r="K22" s="116">
        <v>201427</v>
      </c>
      <c r="L22" s="116">
        <v>174797</v>
      </c>
      <c r="M22" s="116">
        <v>94604</v>
      </c>
      <c r="N22" s="116">
        <v>9097</v>
      </c>
    </row>
    <row r="23" spans="1:14" ht="15.75" thickBot="1" x14ac:dyDescent="0.3">
      <c r="A23" s="152" t="s">
        <v>830</v>
      </c>
      <c r="B23" s="153" t="s">
        <v>829</v>
      </c>
      <c r="C23" s="153"/>
      <c r="D23" s="842">
        <v>243811</v>
      </c>
      <c r="E23" s="138">
        <v>200677</v>
      </c>
      <c r="F23" s="138">
        <v>190461</v>
      </c>
      <c r="G23" s="138">
        <v>177607</v>
      </c>
      <c r="H23" s="138">
        <v>224868</v>
      </c>
      <c r="I23" s="100"/>
      <c r="J23" s="842">
        <v>89278</v>
      </c>
      <c r="K23" s="138">
        <v>79913</v>
      </c>
      <c r="L23" s="138">
        <v>78694</v>
      </c>
      <c r="M23" s="138">
        <v>52465</v>
      </c>
      <c r="N23" s="138">
        <v>66627</v>
      </c>
    </row>
    <row r="24" spans="1:14" x14ac:dyDescent="0.25">
      <c r="A24" s="117"/>
      <c r="B24" s="117"/>
      <c r="C24" s="117"/>
    </row>
    <row r="25" spans="1:14" ht="15.75" thickBot="1" x14ac:dyDescent="0.3">
      <c r="A25" s="135" t="s">
        <v>751</v>
      </c>
      <c r="B25" s="135" t="s">
        <v>754</v>
      </c>
      <c r="C25" s="135"/>
      <c r="N25" s="159"/>
    </row>
    <row r="26" spans="1:14" ht="17.25" customHeight="1" x14ac:dyDescent="0.25">
      <c r="A26" s="156"/>
      <c r="B26" s="156"/>
      <c r="C26" s="157"/>
      <c r="D26" s="1466" t="s">
        <v>949</v>
      </c>
      <c r="E26" s="1466"/>
      <c r="F26" s="1466"/>
      <c r="G26" s="1466"/>
      <c r="H26" s="1466"/>
      <c r="I26" s="144"/>
      <c r="J26" s="1466" t="s">
        <v>1403</v>
      </c>
      <c r="K26" s="1466"/>
      <c r="L26" s="1466"/>
      <c r="M26" s="1466"/>
      <c r="N26" s="1466"/>
    </row>
    <row r="27" spans="1:14" ht="15.75" thickBot="1" x14ac:dyDescent="0.3">
      <c r="A27" s="158"/>
      <c r="B27" s="158"/>
      <c r="C27" s="158"/>
      <c r="D27" s="1219">
        <v>2017</v>
      </c>
      <c r="E27" s="1220">
        <v>2016</v>
      </c>
      <c r="F27" s="1220">
        <v>2015</v>
      </c>
      <c r="G27" s="1220">
        <v>2014</v>
      </c>
      <c r="H27" s="1220">
        <v>2013</v>
      </c>
      <c r="I27" s="1464"/>
      <c r="J27" s="1219">
        <v>2017</v>
      </c>
      <c r="K27" s="1220">
        <v>2016</v>
      </c>
      <c r="L27" s="1220">
        <v>2015</v>
      </c>
      <c r="M27" s="1220">
        <v>2014</v>
      </c>
      <c r="N27" s="1220">
        <v>2013</v>
      </c>
    </row>
    <row r="28" spans="1:14" ht="20.25" customHeight="1" x14ac:dyDescent="0.25">
      <c r="A28" s="170" t="s">
        <v>1489</v>
      </c>
      <c r="B28" s="171" t="s">
        <v>1484</v>
      </c>
      <c r="C28" s="111"/>
      <c r="D28" s="843">
        <f>D10/D9</f>
        <v>0.58522061262257907</v>
      </c>
      <c r="E28" s="167">
        <f>E10/E9</f>
        <v>0.42227455644421164</v>
      </c>
      <c r="F28" s="167">
        <f>F10/F9</f>
        <v>0.3304334817161898</v>
      </c>
      <c r="G28" s="167">
        <f>G10/G9</f>
        <v>0.23431744722025175</v>
      </c>
      <c r="H28" s="167">
        <f>H10/H9</f>
        <v>0.22610744863363982</v>
      </c>
      <c r="I28" s="168"/>
      <c r="J28" s="843">
        <f>J10/J9</f>
        <v>0.77640499017208875</v>
      </c>
      <c r="K28" s="167">
        <f>K10/K9</f>
        <v>0.47045055815936898</v>
      </c>
      <c r="L28" s="167">
        <f>L10/L9</f>
        <v>0.34727696269375569</v>
      </c>
      <c r="M28" s="167">
        <f>M10/M9</f>
        <v>0.18608094942874856</v>
      </c>
      <c r="N28" s="167">
        <f>N10/N9</f>
        <v>0.14946978352839452</v>
      </c>
    </row>
    <row r="29" spans="1:14" x14ac:dyDescent="0.25">
      <c r="A29" s="89" t="s">
        <v>1490</v>
      </c>
      <c r="B29" s="90" t="s">
        <v>1485</v>
      </c>
      <c r="C29" s="90"/>
      <c r="D29" s="844">
        <f>D11/D9</f>
        <v>0.25289020307316012</v>
      </c>
      <c r="E29" s="160">
        <f>E11/E9</f>
        <v>0.17257376674370101</v>
      </c>
      <c r="F29" s="160">
        <f>F11/F9</f>
        <v>0.1164403612849898</v>
      </c>
      <c r="G29" s="160">
        <f>G11/G9</f>
        <v>4.8718930464988125E-2</v>
      </c>
      <c r="H29" s="160">
        <f>H11/H9</f>
        <v>5.5542675514800077E-2</v>
      </c>
      <c r="I29" s="146"/>
      <c r="J29" s="844">
        <f>J11/J9</f>
        <v>0.35584259296401782</v>
      </c>
      <c r="K29" s="160">
        <f>K11/K9</f>
        <v>0.27469073901351926</v>
      </c>
      <c r="L29" s="160">
        <f t="shared" ref="L29:N29" si="0">L11/L9</f>
        <v>0.17360777977764388</v>
      </c>
      <c r="M29" s="160">
        <f t="shared" si="0"/>
        <v>3.216367017978921E-2</v>
      </c>
      <c r="N29" s="160">
        <f t="shared" si="0"/>
        <v>3.4437822314177191E-2</v>
      </c>
    </row>
    <row r="30" spans="1:14" x14ac:dyDescent="0.25">
      <c r="A30" s="89" t="s">
        <v>1491</v>
      </c>
      <c r="B30" s="90" t="s">
        <v>1486</v>
      </c>
      <c r="C30" s="90"/>
      <c r="D30" s="844">
        <f>D12/D9</f>
        <v>0.24212128643611303</v>
      </c>
      <c r="E30" s="160">
        <f>E12/E9</f>
        <v>0.1598775894437533</v>
      </c>
      <c r="F30" s="160">
        <f>F12/F9</f>
        <v>9.9593382182002907E-2</v>
      </c>
      <c r="G30" s="160">
        <f>G12/G9</f>
        <v>3.117465424429413E-2</v>
      </c>
      <c r="H30" s="160">
        <f>H12/H9</f>
        <v>4.4405228508591292E-2</v>
      </c>
      <c r="I30" s="146"/>
      <c r="J30" s="844">
        <f>J12/J9</f>
        <v>0.37287095350796262</v>
      </c>
      <c r="K30" s="160">
        <f t="shared" ref="K30:N30" si="1">K12/K9</f>
        <v>0.30432488321783308</v>
      </c>
      <c r="L30" s="160">
        <f t="shared" si="1"/>
        <v>0.19804814773595114</v>
      </c>
      <c r="M30" s="160">
        <f t="shared" si="1"/>
        <v>6.2075989726330709E-2</v>
      </c>
      <c r="N30" s="160">
        <f t="shared" si="1"/>
        <v>3.6967544699379302E-2</v>
      </c>
    </row>
    <row r="31" spans="1:14" x14ac:dyDescent="0.25">
      <c r="A31" s="89" t="s">
        <v>1492</v>
      </c>
      <c r="B31" s="90" t="s">
        <v>1487</v>
      </c>
      <c r="C31" s="90"/>
      <c r="D31" s="844">
        <f>D13/D9</f>
        <v>0.34789499441999855</v>
      </c>
      <c r="E31" s="160">
        <f>E13/E9</f>
        <v>0.14017854938553206</v>
      </c>
      <c r="F31" s="160">
        <f>F13/F9</f>
        <v>9.152560250040899E-2</v>
      </c>
      <c r="G31" s="160">
        <f>G13/G9</f>
        <v>2.9472959375992449E-2</v>
      </c>
      <c r="H31" s="160">
        <f>H13/H9</f>
        <v>4.1957717705267697E-2</v>
      </c>
      <c r="I31" s="146"/>
      <c r="J31" s="844">
        <f>J13/J9</f>
        <v>0.30264150186529742</v>
      </c>
      <c r="K31" s="160">
        <f t="shared" ref="K31:N31" si="2">K13/K9</f>
        <v>0.26762247280275253</v>
      </c>
      <c r="L31" s="160">
        <f t="shared" si="2"/>
        <v>0.1818108553073419</v>
      </c>
      <c r="M31" s="160">
        <f t="shared" si="2"/>
        <v>6.1642015764768403E-2</v>
      </c>
      <c r="N31" s="160">
        <f t="shared" si="2"/>
        <v>3.1694407559521971E-2</v>
      </c>
    </row>
    <row r="32" spans="1:14" x14ac:dyDescent="0.25">
      <c r="A32" s="89" t="s">
        <v>1493</v>
      </c>
      <c r="B32" s="89" t="s">
        <v>1488</v>
      </c>
      <c r="C32" s="89"/>
      <c r="D32" s="845">
        <f>D18/D16</f>
        <v>0.64471655277445949</v>
      </c>
      <c r="E32" s="161">
        <f>E18/E16</f>
        <v>0.61998712714012572</v>
      </c>
      <c r="F32" s="161">
        <f>F18/F16</f>
        <v>0.59609901938151555</v>
      </c>
      <c r="G32" s="161">
        <f>G18/G16</f>
        <v>0.57959470839012261</v>
      </c>
      <c r="H32" s="161">
        <f>H18/H16</f>
        <v>0.56545778073132813</v>
      </c>
      <c r="I32" s="147"/>
      <c r="J32" s="845">
        <f>J18/J16</f>
        <v>0.65292064014030471</v>
      </c>
      <c r="K32" s="161">
        <f t="shared" ref="K32:N32" si="3">K18/K16</f>
        <v>0.67940115978247373</v>
      </c>
      <c r="L32" s="161">
        <f t="shared" si="3"/>
        <v>0.67697293324635233</v>
      </c>
      <c r="M32" s="161">
        <f t="shared" si="3"/>
        <v>0.65956041888918093</v>
      </c>
      <c r="N32" s="161">
        <f t="shared" si="3"/>
        <v>0.63210373706853462</v>
      </c>
    </row>
    <row r="33" spans="1:14" x14ac:dyDescent="0.25">
      <c r="A33" s="89" t="s">
        <v>1501</v>
      </c>
      <c r="B33" s="90" t="s">
        <v>1494</v>
      </c>
      <c r="C33" s="90"/>
      <c r="D33" s="846">
        <f>((D20+E20)/2)/D10</f>
        <v>1.1061001004253308</v>
      </c>
      <c r="E33" s="162">
        <f>((E20+F20)/2)/E10</f>
        <v>1.6529350608415374</v>
      </c>
      <c r="F33" s="162">
        <f>((F20+G20)/2)/F10</f>
        <v>2.2786362229858477</v>
      </c>
      <c r="G33" s="162">
        <f>((G20+H20)/2)/G10</f>
        <v>2.9460285089385994</v>
      </c>
      <c r="H33" s="162">
        <v>2.6</v>
      </c>
      <c r="I33" s="148"/>
      <c r="J33" s="846" t="s">
        <v>572</v>
      </c>
      <c r="K33" s="162" t="s">
        <v>572</v>
      </c>
      <c r="L33" s="162" t="s">
        <v>572</v>
      </c>
      <c r="M33" s="162" t="s">
        <v>572</v>
      </c>
      <c r="N33" s="162" t="s">
        <v>572</v>
      </c>
    </row>
    <row r="34" spans="1:14" x14ac:dyDescent="0.25">
      <c r="A34" s="89" t="s">
        <v>1502</v>
      </c>
      <c r="B34" s="90" t="s">
        <v>1495</v>
      </c>
      <c r="C34" s="90"/>
      <c r="D34" s="847">
        <f>D20/D18</f>
        <v>0.20750847152209198</v>
      </c>
      <c r="E34" s="163">
        <f>E20/E18</f>
        <v>0.25120218893270924</v>
      </c>
      <c r="F34" s="163">
        <f>F20/F18</f>
        <v>0.33049045596369919</v>
      </c>
      <c r="G34" s="163">
        <f>G20/G18</f>
        <v>0.3494708286466604</v>
      </c>
      <c r="H34" s="163">
        <f>H20/H18</f>
        <v>0.34092458181523205</v>
      </c>
      <c r="I34" s="149"/>
      <c r="J34" s="847">
        <f>J20/J18</f>
        <v>0.24423223334807889</v>
      </c>
      <c r="K34" s="163">
        <f t="shared" ref="K34:N34" si="4">K20/K18</f>
        <v>0.27427977707642709</v>
      </c>
      <c r="L34" s="163">
        <f t="shared" si="4"/>
        <v>0.32207007423518841</v>
      </c>
      <c r="M34" s="163">
        <f t="shared" si="4"/>
        <v>0.35245738318651576</v>
      </c>
      <c r="N34" s="163">
        <f t="shared" si="4"/>
        <v>0.33127924819112881</v>
      </c>
    </row>
    <row r="35" spans="1:14" x14ac:dyDescent="0.25">
      <c r="A35" s="89" t="s">
        <v>1503</v>
      </c>
      <c r="B35" s="90" t="s">
        <v>1496</v>
      </c>
      <c r="C35" s="90"/>
      <c r="D35" s="846">
        <f>'Financial Position'!D28/'Financial Position'!D54</f>
        <v>3.246722458050491</v>
      </c>
      <c r="E35" s="162">
        <f>'Financial Position'!E28/'Financial Position'!E54</f>
        <v>1.6570874967248166</v>
      </c>
      <c r="F35" s="162">
        <v>1.9</v>
      </c>
      <c r="G35" s="162">
        <v>1.3</v>
      </c>
      <c r="H35" s="162">
        <v>1.6</v>
      </c>
      <c r="I35" s="148"/>
      <c r="J35" s="846">
        <f>'Financial Position'!G28/'Financial Position'!G54</f>
        <v>4.2991936960986425</v>
      </c>
      <c r="K35" s="162">
        <f>'Financial Position'!H28/'Financial Position'!H54</f>
        <v>2.2532121396456994</v>
      </c>
      <c r="L35" s="162">
        <v>3</v>
      </c>
      <c r="M35" s="162">
        <v>1.9</v>
      </c>
      <c r="N35" s="162">
        <v>2.1</v>
      </c>
    </row>
    <row r="36" spans="1:14" x14ac:dyDescent="0.25">
      <c r="A36" s="89" t="s">
        <v>1504</v>
      </c>
      <c r="B36" s="89" t="s">
        <v>1497</v>
      </c>
      <c r="C36" s="89"/>
      <c r="D36" s="844">
        <f>D13/((D16+E16)/2)</f>
        <v>7.7437225831181511E-2</v>
      </c>
      <c r="E36" s="160">
        <f>E13/((E16+F16)/2)</f>
        <v>3.520689811814974E-2</v>
      </c>
      <c r="F36" s="160">
        <f>F13/((F16+G16)/2)</f>
        <v>2.4283161439805093E-2</v>
      </c>
      <c r="G36" s="160">
        <f>G13/((G16+H16)/2)</f>
        <v>8.4367823318654642E-3</v>
      </c>
      <c r="H36" s="160">
        <v>1.2999999999999999E-2</v>
      </c>
      <c r="I36" s="146"/>
      <c r="J36" s="844">
        <f>J13/((J16+K16)/2)</f>
        <v>4.403266373817883E-2</v>
      </c>
      <c r="K36" s="160">
        <f t="shared" ref="K36:M36" si="5">K13/((K16+L16)/2)</f>
        <v>4.3435926154406265E-2</v>
      </c>
      <c r="L36" s="160">
        <f t="shared" si="5"/>
        <v>3.0423947676589742E-2</v>
      </c>
      <c r="M36" s="160">
        <f t="shared" si="5"/>
        <v>1.0985262859504959E-2</v>
      </c>
      <c r="N36" s="160">
        <v>8.0000000000000002E-3</v>
      </c>
    </row>
    <row r="37" spans="1:14" x14ac:dyDescent="0.25">
      <c r="A37" s="89" t="s">
        <v>1505</v>
      </c>
      <c r="B37" s="90" t="s">
        <v>1498</v>
      </c>
      <c r="C37" s="90"/>
      <c r="D37" s="844">
        <f>D13/((D18+E18)/2)</f>
        <v>0.12231113467704749</v>
      </c>
      <c r="E37" s="160">
        <f>E13/((E18+F18)/2)</f>
        <v>5.7843188278375299E-2</v>
      </c>
      <c r="F37" s="160">
        <f>F13/((F18+G18)/2)</f>
        <v>4.1306102266349287E-2</v>
      </c>
      <c r="G37" s="160">
        <f>G13/((G18+H18)/2)</f>
        <v>1.4738349764935937E-2</v>
      </c>
      <c r="H37" s="160">
        <v>2.3E-2</v>
      </c>
      <c r="I37" s="146"/>
      <c r="J37" s="844">
        <f>J13/((J18+K18)/2)</f>
        <v>6.6184515803318064E-2</v>
      </c>
      <c r="K37" s="160">
        <f t="shared" ref="K37:M37" si="6">K13/((K18+L18)/2)</f>
        <v>6.4045662957957064E-2</v>
      </c>
      <c r="L37" s="160">
        <f t="shared" si="6"/>
        <v>4.5524803690800336E-2</v>
      </c>
      <c r="M37" s="160">
        <f t="shared" si="6"/>
        <v>1.7016698858218625E-2</v>
      </c>
      <c r="N37" s="160">
        <v>1.2999999999999999E-2</v>
      </c>
    </row>
    <row r="38" spans="1:14" x14ac:dyDescent="0.25">
      <c r="A38" s="89" t="s">
        <v>1506</v>
      </c>
      <c r="B38" s="90" t="s">
        <v>1499</v>
      </c>
      <c r="C38" s="90"/>
      <c r="D38" s="844">
        <f>D11/SUM((D18+E18)/2,(D19+E19)/2)</f>
        <v>6.8008274927958995E-2</v>
      </c>
      <c r="E38" s="160">
        <f>E11/SUM((E18+F18)/2,(E19+F19)/2)</f>
        <v>5.2673912074835724E-2</v>
      </c>
      <c r="F38" s="160">
        <f>F11/SUM((F18+G18)/2,(F19+G19)/2)</f>
        <v>3.7681672276587683E-2</v>
      </c>
      <c r="G38" s="160">
        <f>G11/SUM((G18+H18)/2,(G19+H19)/2)</f>
        <v>1.6938256181364512E-2</v>
      </c>
      <c r="H38" s="160">
        <v>2.1000000000000001E-2</v>
      </c>
      <c r="I38" s="146"/>
      <c r="J38" s="844">
        <f>J11/SUM((J18+K18)/2,(J19+K19)/2)</f>
        <v>5.7669985154731131E-2</v>
      </c>
      <c r="K38" s="160">
        <f t="shared" ref="K38:M38" si="7">K11/SUM((K18+L18)/2,(K19+L19)/2)</f>
        <v>4.8202564828436545E-2</v>
      </c>
      <c r="L38" s="160">
        <f t="shared" si="7"/>
        <v>3.1435603831130608E-2</v>
      </c>
      <c r="M38" s="160">
        <f t="shared" si="7"/>
        <v>6.2375572189728506E-3</v>
      </c>
      <c r="N38" s="160">
        <v>0.01</v>
      </c>
    </row>
    <row r="39" spans="1:14" ht="15.75" thickBot="1" x14ac:dyDescent="0.3">
      <c r="A39" s="164" t="s">
        <v>1507</v>
      </c>
      <c r="B39" s="153" t="s">
        <v>1500</v>
      </c>
      <c r="C39" s="153"/>
      <c r="D39" s="848">
        <f>D14/K13</f>
        <v>0.65585960521241837</v>
      </c>
      <c r="E39" s="165">
        <f t="shared" ref="E39:G39" si="8">E14/L13</f>
        <v>0.81702374670184696</v>
      </c>
      <c r="F39" s="165">
        <f t="shared" si="8"/>
        <v>0.90456896551724142</v>
      </c>
      <c r="G39" s="165">
        <f t="shared" si="8"/>
        <v>0.91995011496940648</v>
      </c>
      <c r="H39" s="165">
        <v>0.91995011496940648</v>
      </c>
      <c r="I39" s="147"/>
      <c r="J39" s="848">
        <f>J14/K13</f>
        <v>0.65585960521241837</v>
      </c>
      <c r="K39" s="165">
        <f t="shared" ref="K39:M39" si="9">K14/L13</f>
        <v>0.81702374670184696</v>
      </c>
      <c r="L39" s="165">
        <f t="shared" si="9"/>
        <v>0.90456896551724142</v>
      </c>
      <c r="M39" s="165">
        <f t="shared" si="9"/>
        <v>0.91995011496940648</v>
      </c>
      <c r="N39" s="165">
        <v>0.91995011496940648</v>
      </c>
    </row>
    <row r="40" spans="1:14" x14ac:dyDescent="0.25">
      <c r="A40" s="130"/>
      <c r="B40" s="111"/>
      <c r="C40" s="111"/>
      <c r="D40" s="81"/>
      <c r="E40" s="81"/>
      <c r="F40" s="81"/>
      <c r="G40" s="132"/>
      <c r="H40" s="132"/>
      <c r="I40" s="145"/>
      <c r="J40" s="81"/>
      <c r="K40" s="81"/>
      <c r="L40" s="81"/>
      <c r="M40" s="132"/>
      <c r="N40" s="132"/>
    </row>
    <row r="41" spans="1:14" ht="15.75" thickBot="1" x14ac:dyDescent="0.3">
      <c r="A41" s="135" t="s">
        <v>752</v>
      </c>
      <c r="B41" s="135" t="s">
        <v>755</v>
      </c>
      <c r="C41" s="135"/>
      <c r="D41" s="81"/>
      <c r="E41" s="81"/>
      <c r="F41" s="81"/>
      <c r="G41" s="132"/>
      <c r="H41" s="132"/>
      <c r="I41" s="145"/>
      <c r="J41" s="133"/>
      <c r="K41" s="133"/>
      <c r="L41" s="133"/>
      <c r="M41" s="134"/>
      <c r="N41" s="134"/>
    </row>
    <row r="42" spans="1:14" ht="17.25" customHeight="1" thickTop="1" x14ac:dyDescent="0.25">
      <c r="A42" s="156"/>
      <c r="B42" s="156"/>
      <c r="C42" s="157"/>
      <c r="D42" s="1466" t="s">
        <v>949</v>
      </c>
      <c r="E42" s="1466"/>
      <c r="F42" s="1466"/>
      <c r="G42" s="1466"/>
      <c r="H42" s="1466"/>
      <c r="I42" s="144"/>
      <c r="J42" s="1466" t="s">
        <v>1403</v>
      </c>
      <c r="K42" s="1466"/>
      <c r="L42" s="1466"/>
      <c r="M42" s="1466"/>
      <c r="N42" s="1466"/>
    </row>
    <row r="43" spans="1:14" ht="15.75" thickBot="1" x14ac:dyDescent="0.3">
      <c r="A43" s="158"/>
      <c r="B43" s="158"/>
      <c r="C43" s="158"/>
      <c r="D43" s="1219">
        <v>2017</v>
      </c>
      <c r="E43" s="1220">
        <v>2016</v>
      </c>
      <c r="F43" s="1220">
        <v>2015</v>
      </c>
      <c r="G43" s="1220">
        <v>2014</v>
      </c>
      <c r="H43" s="1220">
        <v>2013</v>
      </c>
      <c r="I43" s="1464"/>
      <c r="J43" s="1219">
        <v>2017</v>
      </c>
      <c r="K43" s="1220">
        <v>2016</v>
      </c>
      <c r="L43" s="1220">
        <v>2015</v>
      </c>
      <c r="M43" s="1220">
        <v>2014</v>
      </c>
      <c r="N43" s="1220">
        <v>2013</v>
      </c>
    </row>
    <row r="44" spans="1:14" ht="21" customHeight="1" x14ac:dyDescent="0.25">
      <c r="A44" s="172" t="s">
        <v>1258</v>
      </c>
      <c r="B44" s="173" t="s">
        <v>1260</v>
      </c>
      <c r="C44" s="174" t="s">
        <v>552</v>
      </c>
      <c r="D44" s="849">
        <v>10371</v>
      </c>
      <c r="E44" s="174">
        <v>10140</v>
      </c>
      <c r="F44" s="174">
        <v>9868</v>
      </c>
      <c r="G44" s="174">
        <v>9427</v>
      </c>
      <c r="H44" s="174">
        <v>9408</v>
      </c>
      <c r="I44" s="169"/>
      <c r="J44" s="852" t="s">
        <v>572</v>
      </c>
      <c r="K44" s="770" t="s">
        <v>572</v>
      </c>
      <c r="L44" s="770" t="s">
        <v>572</v>
      </c>
      <c r="M44" s="770" t="s">
        <v>572</v>
      </c>
      <c r="N44" s="770" t="s">
        <v>572</v>
      </c>
    </row>
    <row r="45" spans="1:14" ht="15" customHeight="1" x14ac:dyDescent="0.25">
      <c r="A45" s="172" t="s">
        <v>1256</v>
      </c>
      <c r="B45" s="173" t="s">
        <v>1261</v>
      </c>
      <c r="C45" s="174" t="s">
        <v>552</v>
      </c>
      <c r="D45" s="849">
        <v>6923</v>
      </c>
      <c r="E45" s="174">
        <v>7665</v>
      </c>
      <c r="F45" s="174">
        <v>7961</v>
      </c>
      <c r="G45" s="174">
        <v>8800</v>
      </c>
      <c r="H45" s="174">
        <v>8065</v>
      </c>
      <c r="I45" s="169"/>
      <c r="J45" s="849">
        <v>4619</v>
      </c>
      <c r="K45" s="174">
        <v>5290</v>
      </c>
      <c r="L45" s="174">
        <v>5422</v>
      </c>
      <c r="M45" s="174">
        <v>5748</v>
      </c>
      <c r="N45" s="174">
        <v>5984</v>
      </c>
    </row>
    <row r="46" spans="1:14" ht="15" customHeight="1" x14ac:dyDescent="0.25">
      <c r="A46" s="172" t="s">
        <v>1257</v>
      </c>
      <c r="B46" s="173" t="s">
        <v>1262</v>
      </c>
      <c r="C46" s="174" t="s">
        <v>552</v>
      </c>
      <c r="D46" s="849">
        <v>3448</v>
      </c>
      <c r="E46" s="174">
        <v>2474</v>
      </c>
      <c r="F46" s="174">
        <v>1907</v>
      </c>
      <c r="G46" s="174">
        <v>627</v>
      </c>
      <c r="H46" s="174">
        <v>1343</v>
      </c>
      <c r="I46" s="169"/>
      <c r="J46" s="852" t="s">
        <v>572</v>
      </c>
      <c r="K46" s="770" t="s">
        <v>572</v>
      </c>
      <c r="L46" s="770" t="s">
        <v>572</v>
      </c>
      <c r="M46" s="770" t="s">
        <v>572</v>
      </c>
      <c r="N46" s="770" t="s">
        <v>572</v>
      </c>
    </row>
    <row r="47" spans="1:14" x14ac:dyDescent="0.25">
      <c r="A47" s="89" t="s">
        <v>1259</v>
      </c>
      <c r="B47" s="90" t="s">
        <v>1263</v>
      </c>
      <c r="C47" s="110" t="s">
        <v>552</v>
      </c>
      <c r="D47" s="850">
        <v>5734</v>
      </c>
      <c r="E47" s="110">
        <v>4707</v>
      </c>
      <c r="F47" s="110">
        <v>3882</v>
      </c>
      <c r="G47" s="110">
        <v>3625</v>
      </c>
      <c r="H47" s="110">
        <v>4854</v>
      </c>
      <c r="I47" s="150"/>
      <c r="J47" s="850">
        <v>5687</v>
      </c>
      <c r="K47" s="110">
        <v>4660</v>
      </c>
      <c r="L47" s="110">
        <v>3833</v>
      </c>
      <c r="M47" s="110">
        <v>3577</v>
      </c>
      <c r="N47" s="110">
        <v>4811</v>
      </c>
    </row>
    <row r="48" spans="1:14" x14ac:dyDescent="0.25">
      <c r="A48" s="89" t="s">
        <v>818</v>
      </c>
      <c r="B48" s="90" t="s">
        <v>1264</v>
      </c>
      <c r="C48" s="110" t="s">
        <v>552</v>
      </c>
      <c r="D48" s="850">
        <v>2612</v>
      </c>
      <c r="E48" s="110">
        <v>2675</v>
      </c>
      <c r="F48" s="110">
        <v>2408</v>
      </c>
      <c r="G48" s="110">
        <v>2560</v>
      </c>
      <c r="H48" s="110">
        <v>2566</v>
      </c>
      <c r="I48" s="150"/>
      <c r="J48" s="850">
        <v>2354</v>
      </c>
      <c r="K48" s="110">
        <v>2422</v>
      </c>
      <c r="L48" s="110">
        <v>2179</v>
      </c>
      <c r="M48" s="110">
        <v>2312</v>
      </c>
      <c r="N48" s="110">
        <v>2310</v>
      </c>
    </row>
    <row r="49" spans="1:14" x14ac:dyDescent="0.25">
      <c r="A49" s="89" t="s">
        <v>769</v>
      </c>
      <c r="B49" s="90" t="s">
        <v>770</v>
      </c>
      <c r="C49" s="88"/>
      <c r="D49" s="839">
        <v>3908</v>
      </c>
      <c r="E49" s="116">
        <v>4131</v>
      </c>
      <c r="F49" s="116">
        <v>4177</v>
      </c>
      <c r="G49" s="116">
        <v>4563</v>
      </c>
      <c r="H49" s="116">
        <v>4512</v>
      </c>
      <c r="I49" s="150"/>
      <c r="J49" s="839">
        <v>1431</v>
      </c>
      <c r="K49" s="116">
        <v>1472</v>
      </c>
      <c r="L49" s="116">
        <v>1464</v>
      </c>
      <c r="M49" s="116">
        <v>1439</v>
      </c>
      <c r="N49" s="116">
        <v>1428</v>
      </c>
    </row>
    <row r="50" spans="1:14" ht="15.75" customHeight="1" thickBot="1" x14ac:dyDescent="0.3">
      <c r="A50" s="164" t="s">
        <v>771</v>
      </c>
      <c r="B50" s="153" t="s">
        <v>846</v>
      </c>
      <c r="C50" s="153"/>
      <c r="D50" s="851" t="s">
        <v>749</v>
      </c>
      <c r="E50" s="166" t="s">
        <v>749</v>
      </c>
      <c r="F50" s="166" t="s">
        <v>749</v>
      </c>
      <c r="G50" s="166" t="s">
        <v>553</v>
      </c>
      <c r="H50" s="166" t="s">
        <v>553</v>
      </c>
      <c r="I50" s="99"/>
      <c r="J50" s="851" t="s">
        <v>749</v>
      </c>
      <c r="K50" s="166" t="s">
        <v>749</v>
      </c>
      <c r="L50" s="166" t="s">
        <v>749</v>
      </c>
      <c r="M50" s="166" t="s">
        <v>553</v>
      </c>
      <c r="N50" s="166" t="s">
        <v>553</v>
      </c>
    </row>
    <row r="52" spans="1:14" ht="39.75" customHeight="1" x14ac:dyDescent="0.25">
      <c r="A52" s="126" t="s">
        <v>726</v>
      </c>
      <c r="B52" s="126" t="s">
        <v>728</v>
      </c>
      <c r="C52" s="126"/>
      <c r="D52" s="124"/>
      <c r="E52" s="124"/>
      <c r="F52" s="124"/>
      <c r="J52" s="124"/>
      <c r="K52" s="124"/>
      <c r="L52" s="124"/>
    </row>
    <row r="53" spans="1:14" ht="21" customHeight="1" x14ac:dyDescent="0.25">
      <c r="A53" s="126" t="s">
        <v>727</v>
      </c>
      <c r="B53" s="126" t="s">
        <v>729</v>
      </c>
      <c r="C53" s="126"/>
      <c r="D53" s="124"/>
      <c r="E53" s="124"/>
      <c r="F53" s="124"/>
      <c r="J53" s="124"/>
      <c r="K53" s="124"/>
      <c r="L53" s="124"/>
    </row>
    <row r="54" spans="1:14" ht="15" customHeight="1" x14ac:dyDescent="0.25">
      <c r="A54" s="127" t="s">
        <v>725</v>
      </c>
      <c r="B54" s="123" t="s">
        <v>730</v>
      </c>
      <c r="C54" s="123"/>
      <c r="D54" s="124"/>
      <c r="E54" s="124"/>
      <c r="F54" s="124"/>
      <c r="J54" s="124"/>
      <c r="K54" s="124"/>
      <c r="L54" s="124"/>
    </row>
    <row r="55" spans="1:14" ht="30" customHeight="1" x14ac:dyDescent="0.25">
      <c r="A55" s="1164" t="s">
        <v>1453</v>
      </c>
      <c r="B55" s="127" t="s">
        <v>1452</v>
      </c>
      <c r="C55" s="127"/>
    </row>
    <row r="56" spans="1:14" ht="20.25" customHeight="1" x14ac:dyDescent="0.25">
      <c r="A56" s="127" t="s">
        <v>1467</v>
      </c>
      <c r="B56" s="127" t="s">
        <v>1454</v>
      </c>
      <c r="C56" s="127"/>
    </row>
    <row r="57" spans="1:14" x14ac:dyDescent="0.25">
      <c r="A57" s="123" t="s">
        <v>1468</v>
      </c>
      <c r="B57" s="123" t="s">
        <v>1455</v>
      </c>
      <c r="C57" s="123"/>
    </row>
    <row r="58" spans="1:14" ht="19.5" x14ac:dyDescent="0.25">
      <c r="A58" s="127" t="s">
        <v>1469</v>
      </c>
      <c r="B58" s="127" t="s">
        <v>1456</v>
      </c>
      <c r="C58" s="127"/>
    </row>
    <row r="59" spans="1:14" ht="15" customHeight="1" x14ac:dyDescent="0.25">
      <c r="A59" s="127" t="s">
        <v>1470</v>
      </c>
      <c r="B59" s="127" t="s">
        <v>1457</v>
      </c>
      <c r="C59" s="127"/>
    </row>
    <row r="60" spans="1:14" x14ac:dyDescent="0.25">
      <c r="A60" s="125" t="s">
        <v>1471</v>
      </c>
      <c r="B60" s="125" t="s">
        <v>1458</v>
      </c>
      <c r="C60" s="125"/>
      <c r="D60" s="128"/>
      <c r="E60" s="128"/>
      <c r="F60" s="128"/>
      <c r="J60" s="128"/>
      <c r="K60" s="128"/>
      <c r="L60" s="128"/>
    </row>
    <row r="61" spans="1:14" ht="21.75" customHeight="1" x14ac:dyDescent="0.25">
      <c r="A61" s="127" t="s">
        <v>1472</v>
      </c>
      <c r="B61" s="127" t="s">
        <v>1459</v>
      </c>
      <c r="C61" s="127"/>
    </row>
    <row r="62" spans="1:14" ht="22.5" customHeight="1" x14ac:dyDescent="0.25">
      <c r="A62" s="127" t="s">
        <v>1473</v>
      </c>
      <c r="B62" s="127" t="s">
        <v>1460</v>
      </c>
      <c r="C62" s="127"/>
    </row>
    <row r="63" spans="1:14" ht="22.5" customHeight="1" x14ac:dyDescent="0.25">
      <c r="A63" s="127" t="s">
        <v>1474</v>
      </c>
      <c r="B63" s="127" t="s">
        <v>1461</v>
      </c>
      <c r="C63" s="127"/>
    </row>
    <row r="64" spans="1:14" ht="24" customHeight="1" x14ac:dyDescent="0.25">
      <c r="A64" s="1164" t="s">
        <v>1475</v>
      </c>
      <c r="B64" s="127" t="s">
        <v>1462</v>
      </c>
      <c r="C64" s="127"/>
    </row>
    <row r="65" spans="1:12" ht="24" customHeight="1" x14ac:dyDescent="0.25">
      <c r="A65" s="127" t="s">
        <v>1476</v>
      </c>
      <c r="B65" s="127" t="s">
        <v>1463</v>
      </c>
      <c r="C65" s="127"/>
      <c r="D65" s="128"/>
      <c r="E65" s="128"/>
      <c r="F65" s="128"/>
      <c r="J65" s="128"/>
      <c r="K65" s="128"/>
      <c r="L65" s="128"/>
    </row>
    <row r="66" spans="1:12" ht="24.75" customHeight="1" x14ac:dyDescent="0.25">
      <c r="A66" s="127" t="s">
        <v>1477</v>
      </c>
      <c r="B66" s="127" t="s">
        <v>1464</v>
      </c>
      <c r="C66" s="127"/>
    </row>
    <row r="67" spans="1:12" ht="45.75" customHeight="1" x14ac:dyDescent="0.25">
      <c r="A67" s="127" t="s">
        <v>1478</v>
      </c>
      <c r="B67" s="127" t="s">
        <v>1465</v>
      </c>
      <c r="C67" s="127"/>
    </row>
    <row r="68" spans="1:12" ht="14.25" customHeight="1" x14ac:dyDescent="0.25">
      <c r="A68" s="1164" t="s">
        <v>1479</v>
      </c>
      <c r="B68" s="127" t="s">
        <v>1466</v>
      </c>
      <c r="C68" s="127"/>
    </row>
  </sheetData>
  <sheetProtection algorithmName="SHA-512" hashValue="joqMbHH9qc9t5p0R0VSAsMyMhpDvCcKSuMNDIq3b7qStpRjrBfYu0qo4RSINyMaucn6qKgIzdKQA/hEiaCebYw==" saltValue="VL+TeGvhJjvAvWxj1jm0RQ==" spinCount="100000" sheet="1" objects="1" scenarios="1"/>
  <mergeCells count="6">
    <mergeCell ref="D6:H6"/>
    <mergeCell ref="J6:N6"/>
    <mergeCell ref="D26:H26"/>
    <mergeCell ref="J26:N26"/>
    <mergeCell ref="D42:H42"/>
    <mergeCell ref="J42:N42"/>
  </mergeCells>
  <pageMargins left="0" right="0" top="0.59055118110236227" bottom="0" header="0" footer="0"/>
  <pageSetup paperSize="9"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showGridLines="0" zoomScaleNormal="100" workbookViewId="0">
      <pane ySplit="2" topLeftCell="A39" activePane="bottomLeft" state="frozen"/>
      <selection pane="bottomLeft" activeCell="C60" sqref="C60"/>
    </sheetView>
  </sheetViews>
  <sheetFormatPr defaultColWidth="9.140625" defaultRowHeight="11.25" outlineLevelCol="1" x14ac:dyDescent="0.25"/>
  <cols>
    <col min="1" max="1" width="47.42578125" style="35" customWidth="1"/>
    <col min="2" max="2" width="51.28515625" style="35" customWidth="1" outlineLevel="1"/>
    <col min="3" max="7" width="14.5703125" style="35" customWidth="1"/>
    <col min="8" max="8" width="2.5703125" style="35" customWidth="1"/>
    <col min="9" max="9" width="10" style="35" customWidth="1"/>
    <col min="10" max="10" width="10.7109375" style="35" customWidth="1"/>
    <col min="11" max="11" width="2.5703125" style="35" customWidth="1"/>
    <col min="12" max="13" width="10" style="35" customWidth="1"/>
    <col min="14" max="16384" width="9.140625" style="35"/>
  </cols>
  <sheetData>
    <row r="1" spans="1:9" ht="15.75" x14ac:dyDescent="0.25">
      <c r="A1" s="72" t="str">
        <f>'Key Figures'!A1</f>
        <v>LATVENERGO KONCERNA KONSOLIDĒTIE un</v>
      </c>
      <c r="B1" s="72" t="str">
        <f>'Key Figures'!B1</f>
        <v>LATVENERGO GROUP CONSOLIDATED and</v>
      </c>
      <c r="C1" s="28"/>
      <c r="D1" s="28"/>
      <c r="E1" s="72"/>
    </row>
    <row r="2" spans="1:9" ht="15.75" x14ac:dyDescent="0.25">
      <c r="A2" s="72" t="str">
        <f>'Key Figures'!A2</f>
        <v>AS „LATVENERGO” 2017. GADA FINANŠU PĀRSKATI</v>
      </c>
      <c r="B2" s="72" t="str">
        <f>'Key Figures'!B2</f>
        <v>LATVENERGO AS FINANCIAL STATEMENTS 2017</v>
      </c>
      <c r="C2" s="28"/>
      <c r="D2" s="28"/>
      <c r="E2" s="72"/>
    </row>
    <row r="3" spans="1:9" s="37" customFormat="1" ht="15.75" x14ac:dyDescent="0.25">
      <c r="C3" s="36"/>
      <c r="D3" s="36"/>
      <c r="E3" s="36"/>
    </row>
    <row r="4" spans="1:9" s="50" customFormat="1" ht="15.75" hidden="1" x14ac:dyDescent="0.25">
      <c r="A4" s="638" t="s">
        <v>478</v>
      </c>
      <c r="B4" s="638" t="s">
        <v>282</v>
      </c>
      <c r="C4" s="695" t="s">
        <v>1070</v>
      </c>
      <c r="G4" s="441" t="s">
        <v>51</v>
      </c>
    </row>
    <row r="5" spans="1:9" s="25" customFormat="1" ht="18.75" hidden="1" customHeight="1" x14ac:dyDescent="0.25">
      <c r="A5" s="1481"/>
      <c r="B5" s="1481"/>
      <c r="C5" s="1470" t="s">
        <v>949</v>
      </c>
      <c r="D5" s="1470"/>
      <c r="E5" s="50"/>
      <c r="F5" s="1470" t="s">
        <v>950</v>
      </c>
      <c r="G5" s="1470"/>
      <c r="I5" s="35"/>
    </row>
    <row r="6" spans="1:9" s="23" customFormat="1" ht="15.75" hidden="1" thickBot="1" x14ac:dyDescent="0.3">
      <c r="A6" s="1482"/>
      <c r="B6" s="1482"/>
      <c r="C6" s="198">
        <v>2017</v>
      </c>
      <c r="D6" s="197">
        <v>2016</v>
      </c>
      <c r="E6" s="50"/>
      <c r="F6" s="198">
        <v>2017</v>
      </c>
      <c r="G6" s="197">
        <v>2016</v>
      </c>
    </row>
    <row r="7" spans="1:9" ht="15" hidden="1" x14ac:dyDescent="0.25">
      <c r="A7" s="38"/>
      <c r="B7" s="38"/>
      <c r="C7" s="648"/>
      <c r="D7" s="647"/>
      <c r="E7" s="50"/>
      <c r="F7" s="648"/>
      <c r="G7" s="647"/>
    </row>
    <row r="8" spans="1:9" ht="15" hidden="1" x14ac:dyDescent="0.25">
      <c r="A8" s="38"/>
      <c r="B8" s="38"/>
      <c r="C8" s="648"/>
      <c r="D8" s="647"/>
      <c r="E8" s="50"/>
      <c r="F8" s="648"/>
      <c r="G8" s="647"/>
    </row>
    <row r="9" spans="1:9" ht="15" hidden="1" x14ac:dyDescent="0.25">
      <c r="A9" s="131" t="s">
        <v>1066</v>
      </c>
      <c r="B9" s="131" t="s">
        <v>1067</v>
      </c>
      <c r="C9" s="228">
        <v>467126</v>
      </c>
      <c r="D9" s="229">
        <v>483963</v>
      </c>
      <c r="E9" s="50"/>
      <c r="F9" s="228">
        <v>370626</v>
      </c>
      <c r="G9" s="137">
        <v>386679</v>
      </c>
    </row>
    <row r="10" spans="1:9" ht="15" hidden="1" x14ac:dyDescent="0.25">
      <c r="A10" s="389" t="s">
        <v>737</v>
      </c>
      <c r="B10" s="389" t="s">
        <v>278</v>
      </c>
      <c r="C10" s="154">
        <v>301874</v>
      </c>
      <c r="D10" s="184">
        <v>290084</v>
      </c>
      <c r="E10" s="50"/>
      <c r="F10" s="154" t="s">
        <v>572</v>
      </c>
      <c r="G10" s="184" t="s">
        <v>572</v>
      </c>
    </row>
    <row r="11" spans="1:9" ht="15" hidden="1" x14ac:dyDescent="0.25">
      <c r="A11" s="417" t="s">
        <v>868</v>
      </c>
      <c r="B11" s="417" t="s">
        <v>250</v>
      </c>
      <c r="C11" s="154">
        <v>83239</v>
      </c>
      <c r="D11" s="184">
        <v>82709</v>
      </c>
      <c r="E11" s="50"/>
      <c r="F11" s="154">
        <v>71422</v>
      </c>
      <c r="G11" s="184">
        <v>71093</v>
      </c>
    </row>
    <row r="12" spans="1:9" ht="15" hidden="1" x14ac:dyDescent="0.25">
      <c r="A12" s="389" t="s">
        <v>656</v>
      </c>
      <c r="B12" s="389" t="s">
        <v>746</v>
      </c>
      <c r="C12" s="154">
        <v>43911</v>
      </c>
      <c r="D12" s="184">
        <v>45371</v>
      </c>
      <c r="E12" s="50"/>
      <c r="F12" s="154" t="s">
        <v>572</v>
      </c>
      <c r="G12" s="184" t="s">
        <v>572</v>
      </c>
    </row>
    <row r="13" spans="1:9" ht="15" hidden="1" x14ac:dyDescent="0.25">
      <c r="A13" s="389" t="s">
        <v>1064</v>
      </c>
      <c r="B13" s="389" t="s">
        <v>1065</v>
      </c>
      <c r="C13" s="154">
        <v>1868</v>
      </c>
      <c r="D13" s="184">
        <v>1862</v>
      </c>
      <c r="E13" s="50"/>
      <c r="F13" s="154">
        <v>15922</v>
      </c>
      <c r="G13" s="184">
        <v>15432</v>
      </c>
    </row>
    <row r="14" spans="1:9" ht="15" hidden="1" x14ac:dyDescent="0.25">
      <c r="A14" s="389" t="s">
        <v>3</v>
      </c>
      <c r="B14" s="389" t="s">
        <v>251</v>
      </c>
      <c r="C14" s="154">
        <v>27609</v>
      </c>
      <c r="D14" s="184">
        <v>27630</v>
      </c>
      <c r="E14" s="50"/>
      <c r="F14" s="154">
        <v>40610</v>
      </c>
      <c r="G14" s="184">
        <v>40359</v>
      </c>
    </row>
    <row r="15" spans="1:9" ht="15.75" hidden="1" thickBot="1" x14ac:dyDescent="0.3">
      <c r="A15" s="408" t="s">
        <v>64</v>
      </c>
      <c r="B15" s="408" t="s">
        <v>283</v>
      </c>
      <c r="C15" s="413">
        <v>925627</v>
      </c>
      <c r="D15" s="408">
        <v>931619</v>
      </c>
      <c r="E15" s="50"/>
      <c r="F15" s="413">
        <v>498580</v>
      </c>
      <c r="G15" s="408">
        <v>513563</v>
      </c>
    </row>
    <row r="16" spans="1:9" ht="15" hidden="1" x14ac:dyDescent="0.25">
      <c r="A16" s="1515"/>
      <c r="B16" s="1515"/>
      <c r="C16" s="1515"/>
      <c r="D16" s="1515"/>
      <c r="E16" s="50"/>
    </row>
    <row r="17" spans="1:10" hidden="1" x14ac:dyDescent="0.25"/>
    <row r="18" spans="1:10" ht="16.5" thickBot="1" x14ac:dyDescent="0.25">
      <c r="A18" s="63" t="s">
        <v>478</v>
      </c>
      <c r="B18" s="63" t="s">
        <v>282</v>
      </c>
      <c r="G18" s="666" t="s">
        <v>1</v>
      </c>
    </row>
    <row r="19" spans="1:10" s="25" customFormat="1" ht="18.75" customHeight="1" x14ac:dyDescent="0.25">
      <c r="A19" s="1481"/>
      <c r="B19" s="1481"/>
      <c r="C19" s="1470" t="s">
        <v>949</v>
      </c>
      <c r="D19" s="1470"/>
      <c r="E19" s="50"/>
      <c r="F19" s="1470" t="s">
        <v>1403</v>
      </c>
      <c r="G19" s="1470"/>
      <c r="I19" s="1497" t="s">
        <v>1045</v>
      </c>
      <c r="J19" s="1497" t="s">
        <v>1053</v>
      </c>
    </row>
    <row r="20" spans="1:10" s="23" customFormat="1" ht="15.75" thickBot="1" x14ac:dyDescent="0.3">
      <c r="A20" s="1482"/>
      <c r="B20" s="1482"/>
      <c r="C20" s="824">
        <v>2017</v>
      </c>
      <c r="D20" s="197">
        <v>2016</v>
      </c>
      <c r="E20" s="50"/>
      <c r="F20" s="824">
        <v>2017</v>
      </c>
      <c r="G20" s="197">
        <v>2016</v>
      </c>
      <c r="I20" s="1498"/>
      <c r="J20" s="1498"/>
    </row>
    <row r="21" spans="1:10" s="666" customFormat="1" x14ac:dyDescent="0.2">
      <c r="A21" s="677"/>
      <c r="B21" s="685"/>
      <c r="C21" s="853"/>
      <c r="D21" s="678"/>
      <c r="E21" s="35"/>
      <c r="F21" s="853"/>
      <c r="G21" s="678"/>
      <c r="I21" s="15"/>
      <c r="J21" s="15"/>
    </row>
    <row r="22" spans="1:10" s="666" customFormat="1" ht="22.5" x14ac:dyDescent="0.2">
      <c r="A22" s="686" t="s">
        <v>1054</v>
      </c>
      <c r="B22" s="686" t="s">
        <v>1046</v>
      </c>
      <c r="C22" s="861"/>
      <c r="D22" s="952"/>
      <c r="E22" s="35"/>
      <c r="F22" s="861"/>
      <c r="G22" s="952"/>
      <c r="I22" s="953"/>
      <c r="J22" s="953"/>
    </row>
    <row r="23" spans="1:10" s="666" customFormat="1" x14ac:dyDescent="0.2">
      <c r="A23" s="292" t="s">
        <v>1066</v>
      </c>
      <c r="B23" s="292" t="s">
        <v>1067</v>
      </c>
      <c r="C23" s="867">
        <v>467126</v>
      </c>
      <c r="D23" s="229">
        <v>483963</v>
      </c>
      <c r="E23" s="35"/>
      <c r="F23" s="867">
        <v>370626</v>
      </c>
      <c r="G23" s="229">
        <v>386679</v>
      </c>
      <c r="I23" s="269" t="s">
        <v>991</v>
      </c>
      <c r="J23" s="954" t="s">
        <v>1055</v>
      </c>
    </row>
    <row r="24" spans="1:10" s="666" customFormat="1" x14ac:dyDescent="0.2">
      <c r="A24" s="389" t="s">
        <v>737</v>
      </c>
      <c r="B24" s="389" t="s">
        <v>278</v>
      </c>
      <c r="C24" s="839">
        <v>301874</v>
      </c>
      <c r="D24" s="184">
        <v>290084</v>
      </c>
      <c r="E24" s="35"/>
      <c r="F24" s="839" t="s">
        <v>572</v>
      </c>
      <c r="G24" s="184" t="s">
        <v>572</v>
      </c>
      <c r="I24" s="250" t="s">
        <v>991</v>
      </c>
      <c r="J24" s="409" t="s">
        <v>1055</v>
      </c>
    </row>
    <row r="25" spans="1:10" s="666" customFormat="1" x14ac:dyDescent="0.2">
      <c r="A25" s="389" t="s">
        <v>868</v>
      </c>
      <c r="B25" s="389" t="s">
        <v>250</v>
      </c>
      <c r="C25" s="839">
        <v>83239</v>
      </c>
      <c r="D25" s="184">
        <v>82709</v>
      </c>
      <c r="E25" s="35"/>
      <c r="F25" s="839">
        <v>71422</v>
      </c>
      <c r="G25" s="184">
        <v>71093</v>
      </c>
      <c r="I25" s="250" t="s">
        <v>991</v>
      </c>
      <c r="J25" s="409" t="s">
        <v>1055</v>
      </c>
    </row>
    <row r="26" spans="1:10" s="666" customFormat="1" ht="12" thickBot="1" x14ac:dyDescent="0.25">
      <c r="A26" s="423" t="s">
        <v>3</v>
      </c>
      <c r="B26" s="423" t="s">
        <v>251</v>
      </c>
      <c r="C26" s="855">
        <f>27609-C32</f>
        <v>27105</v>
      </c>
      <c r="D26" s="201">
        <f>27630-D32</f>
        <v>27123</v>
      </c>
      <c r="E26" s="35"/>
      <c r="F26" s="855">
        <v>40610</v>
      </c>
      <c r="G26" s="201">
        <v>40359</v>
      </c>
      <c r="I26" s="338" t="s">
        <v>991</v>
      </c>
      <c r="J26" s="699" t="s">
        <v>1055</v>
      </c>
    </row>
    <row r="27" spans="1:10" s="666" customFormat="1" ht="12" thickBot="1" x14ac:dyDescent="0.25">
      <c r="A27" s="673" t="s">
        <v>1056</v>
      </c>
      <c r="B27" s="673" t="s">
        <v>1047</v>
      </c>
      <c r="C27" s="939">
        <f>SUM(C23:C26)</f>
        <v>879344</v>
      </c>
      <c r="D27" s="673">
        <f>SUM(D23:D26)</f>
        <v>883879</v>
      </c>
      <c r="E27" s="35"/>
      <c r="F27" s="939">
        <f>SUM(F23:F26)</f>
        <v>482658</v>
      </c>
      <c r="G27" s="673">
        <f>SUM(G23:G26)</f>
        <v>498131</v>
      </c>
      <c r="I27" s="673"/>
      <c r="J27" s="672"/>
    </row>
    <row r="28" spans="1:10" s="666" customFormat="1" x14ac:dyDescent="0.2">
      <c r="A28" s="681"/>
      <c r="B28" s="684"/>
      <c r="C28" s="789"/>
      <c r="D28" s="680"/>
      <c r="E28" s="35"/>
      <c r="F28" s="789"/>
      <c r="G28" s="680"/>
      <c r="I28" s="680"/>
      <c r="J28" s="698"/>
    </row>
    <row r="29" spans="1:10" s="666" customFormat="1" x14ac:dyDescent="0.2">
      <c r="A29" s="679" t="s">
        <v>1057</v>
      </c>
      <c r="B29" s="679" t="s">
        <v>1048</v>
      </c>
      <c r="C29" s="789"/>
      <c r="D29" s="680"/>
      <c r="E29" s="35"/>
      <c r="F29" s="789"/>
      <c r="G29" s="680"/>
      <c r="I29" s="680"/>
      <c r="J29" s="698"/>
    </row>
    <row r="30" spans="1:10" s="666" customFormat="1" x14ac:dyDescent="0.2">
      <c r="A30" s="389" t="s">
        <v>1068</v>
      </c>
      <c r="B30" s="389" t="s">
        <v>1069</v>
      </c>
      <c r="C30" s="839">
        <v>43911</v>
      </c>
      <c r="D30" s="184">
        <v>45371</v>
      </c>
      <c r="E30" s="35"/>
      <c r="F30" s="839" t="s">
        <v>572</v>
      </c>
      <c r="G30" s="184" t="s">
        <v>572</v>
      </c>
      <c r="I30" s="250" t="s">
        <v>1049</v>
      </c>
      <c r="J30" s="409" t="s">
        <v>1058</v>
      </c>
    </row>
    <row r="31" spans="1:10" s="666" customFormat="1" x14ac:dyDescent="0.2">
      <c r="A31" s="389" t="s">
        <v>1659</v>
      </c>
      <c r="B31" s="389" t="s">
        <v>1660</v>
      </c>
      <c r="C31" s="839">
        <v>1868</v>
      </c>
      <c r="D31" s="184">
        <v>1862</v>
      </c>
      <c r="E31" s="35"/>
      <c r="F31" s="839">
        <v>15922</v>
      </c>
      <c r="G31" s="184">
        <v>15432</v>
      </c>
      <c r="I31" s="250" t="s">
        <v>1049</v>
      </c>
      <c r="J31" s="409" t="s">
        <v>1058</v>
      </c>
    </row>
    <row r="32" spans="1:10" s="666" customFormat="1" ht="12" thickBot="1" x14ac:dyDescent="0.25">
      <c r="A32" s="423" t="s">
        <v>3</v>
      </c>
      <c r="B32" s="423" t="s">
        <v>251</v>
      </c>
      <c r="C32" s="855">
        <v>504</v>
      </c>
      <c r="D32" s="201">
        <v>507</v>
      </c>
      <c r="E32" s="35"/>
      <c r="F32" s="855" t="s">
        <v>572</v>
      </c>
      <c r="G32" s="201" t="s">
        <v>572</v>
      </c>
      <c r="I32" s="250" t="s">
        <v>1049</v>
      </c>
      <c r="J32" s="409" t="s">
        <v>1058</v>
      </c>
    </row>
    <row r="33" spans="1:14" s="666" customFormat="1" ht="12" thickBot="1" x14ac:dyDescent="0.25">
      <c r="A33" s="944" t="s">
        <v>79</v>
      </c>
      <c r="B33" s="944" t="s">
        <v>1050</v>
      </c>
      <c r="C33" s="948">
        <f>SUM(C30:C32)</f>
        <v>46283</v>
      </c>
      <c r="D33" s="743">
        <f>SUM(D30:D32)</f>
        <v>47740</v>
      </c>
      <c r="E33" s="35"/>
      <c r="F33" s="948">
        <f>SUM(F30:F32)</f>
        <v>15922</v>
      </c>
      <c r="G33" s="743">
        <f>SUM(G30:G32)</f>
        <v>15432</v>
      </c>
      <c r="I33" s="338"/>
      <c r="J33" s="699"/>
    </row>
    <row r="34" spans="1:14" s="666" customFormat="1" x14ac:dyDescent="0.2">
      <c r="A34" s="947"/>
      <c r="B34" s="947"/>
      <c r="C34" s="945"/>
      <c r="D34" s="946"/>
      <c r="E34" s="35"/>
      <c r="F34" s="945"/>
      <c r="G34" s="946"/>
      <c r="I34" s="100"/>
      <c r="J34" s="100"/>
    </row>
    <row r="35" spans="1:14" s="666" customFormat="1" ht="12" thickBot="1" x14ac:dyDescent="0.25">
      <c r="A35" s="425" t="s">
        <v>64</v>
      </c>
      <c r="B35" s="425" t="s">
        <v>1051</v>
      </c>
      <c r="C35" s="940">
        <f>C27+C33</f>
        <v>925627</v>
      </c>
      <c r="D35" s="425">
        <f>D27+D33</f>
        <v>931619</v>
      </c>
      <c r="E35" s="35"/>
      <c r="F35" s="940">
        <f>F27+F33</f>
        <v>498580</v>
      </c>
      <c r="G35" s="425">
        <f>G27+G33</f>
        <v>513563</v>
      </c>
      <c r="I35" s="425"/>
      <c r="J35" s="671"/>
    </row>
    <row r="36" spans="1:14" s="666" customFormat="1" x14ac:dyDescent="0.2">
      <c r="A36" s="683"/>
      <c r="B36" s="646"/>
      <c r="C36" s="646"/>
      <c r="D36" s="646"/>
      <c r="E36" s="35"/>
      <c r="F36" s="35"/>
      <c r="G36" s="35"/>
    </row>
    <row r="37" spans="1:14" s="666" customFormat="1" x14ac:dyDescent="0.2">
      <c r="A37" s="697"/>
      <c r="B37" s="697"/>
    </row>
    <row r="38" spans="1:14" s="666" customFormat="1" x14ac:dyDescent="0.2">
      <c r="A38" s="682"/>
      <c r="B38" s="682"/>
    </row>
    <row r="39" spans="1:14" s="666" customFormat="1" ht="12" thickBot="1" x14ac:dyDescent="0.25">
      <c r="A39" s="693" t="s">
        <v>1254</v>
      </c>
      <c r="B39" s="693" t="s">
        <v>1253</v>
      </c>
      <c r="G39" s="666" t="s">
        <v>1</v>
      </c>
    </row>
    <row r="40" spans="1:14" s="25" customFormat="1" ht="18.75" customHeight="1" x14ac:dyDescent="0.25">
      <c r="A40" s="692"/>
      <c r="B40" s="692"/>
      <c r="C40" s="1470" t="s">
        <v>949</v>
      </c>
      <c r="D40" s="1470"/>
      <c r="E40" s="50"/>
      <c r="F40" s="1470" t="s">
        <v>1403</v>
      </c>
      <c r="G40" s="1470"/>
      <c r="H40" s="50"/>
      <c r="I40" s="50"/>
      <c r="J40" s="50"/>
      <c r="K40" s="50"/>
      <c r="L40" s="50"/>
      <c r="M40" s="50"/>
      <c r="N40" s="50"/>
    </row>
    <row r="41" spans="1:14" s="23" customFormat="1" ht="15.75" thickBot="1" x14ac:dyDescent="0.3">
      <c r="A41" s="696"/>
      <c r="B41" s="696"/>
      <c r="C41" s="824">
        <v>2017</v>
      </c>
      <c r="D41" s="197">
        <v>2016</v>
      </c>
      <c r="E41" s="50"/>
      <c r="F41" s="824">
        <v>2017</v>
      </c>
      <c r="G41" s="197">
        <v>2016</v>
      </c>
      <c r="H41" s="50"/>
      <c r="I41" s="50"/>
      <c r="J41" s="50"/>
      <c r="K41" s="50"/>
      <c r="L41" s="50"/>
      <c r="M41" s="50"/>
      <c r="N41" s="50"/>
    </row>
    <row r="42" spans="1:14" x14ac:dyDescent="0.25">
      <c r="A42" s="39"/>
      <c r="B42" s="39"/>
      <c r="C42" s="825"/>
      <c r="D42" s="40"/>
      <c r="F42" s="825"/>
      <c r="G42" s="40"/>
    </row>
    <row r="43" spans="1:14" s="666" customFormat="1" x14ac:dyDescent="0.2">
      <c r="A43" s="292" t="s">
        <v>127</v>
      </c>
      <c r="B43" s="292" t="s">
        <v>490</v>
      </c>
      <c r="C43" s="867">
        <f>C27-C44</f>
        <v>728391</v>
      </c>
      <c r="D43" s="229">
        <f>D27-D44</f>
        <v>744674</v>
      </c>
      <c r="F43" s="867">
        <f>F27-F44</f>
        <v>418998</v>
      </c>
      <c r="G43" s="229">
        <f>G27-G44</f>
        <v>461610</v>
      </c>
    </row>
    <row r="44" spans="1:14" s="666" customFormat="1" ht="12" thickBot="1" x14ac:dyDescent="0.25">
      <c r="A44" s="423" t="s">
        <v>1179</v>
      </c>
      <c r="B44" s="423" t="s">
        <v>1180</v>
      </c>
      <c r="C44" s="855">
        <v>150953</v>
      </c>
      <c r="D44" s="201">
        <v>139205</v>
      </c>
      <c r="F44" s="855">
        <v>63660</v>
      </c>
      <c r="G44" s="201">
        <v>36521</v>
      </c>
    </row>
    <row r="45" spans="1:14" s="666" customFormat="1" ht="12" thickBot="1" x14ac:dyDescent="0.25">
      <c r="A45" s="673" t="s">
        <v>1056</v>
      </c>
      <c r="B45" s="673" t="s">
        <v>1255</v>
      </c>
      <c r="C45" s="939">
        <f>SUM(C43:C44)</f>
        <v>879344</v>
      </c>
      <c r="D45" s="673">
        <f>SUM(D43:D44)</f>
        <v>883879</v>
      </c>
      <c r="F45" s="939">
        <f>SUM(F43:F44)</f>
        <v>482658</v>
      </c>
      <c r="G45" s="673">
        <f>SUM(G43:G44)</f>
        <v>498131</v>
      </c>
    </row>
    <row r="46" spans="1:14" s="666" customFormat="1" x14ac:dyDescent="0.2">
      <c r="B46" s="683"/>
      <c r="C46" s="683"/>
      <c r="D46" s="683"/>
      <c r="F46" s="1418"/>
      <c r="I46" s="683" t="s">
        <v>998</v>
      </c>
    </row>
    <row r="47" spans="1:14" s="666" customFormat="1" x14ac:dyDescent="0.2">
      <c r="B47" s="683"/>
      <c r="I47" s="683"/>
    </row>
    <row r="48" spans="1:14" ht="45.75" thickBot="1" x14ac:dyDescent="0.25">
      <c r="A48" s="1419" t="s">
        <v>1658</v>
      </c>
      <c r="B48" s="1419" t="s">
        <v>1402</v>
      </c>
      <c r="G48" s="666" t="s">
        <v>1</v>
      </c>
    </row>
    <row r="49" spans="1:9" s="25" customFormat="1" ht="18.75" customHeight="1" x14ac:dyDescent="0.25">
      <c r="A49" s="1481"/>
      <c r="B49" s="1481"/>
      <c r="C49" s="1470" t="s">
        <v>949</v>
      </c>
      <c r="D49" s="1470"/>
      <c r="E49" s="50"/>
      <c r="F49" s="1470" t="s">
        <v>1403</v>
      </c>
      <c r="G49" s="1470"/>
      <c r="I49" s="35"/>
    </row>
    <row r="50" spans="1:9" s="23" customFormat="1" ht="15.75" thickBot="1" x14ac:dyDescent="0.3">
      <c r="A50" s="1482"/>
      <c r="B50" s="1482"/>
      <c r="C50" s="824">
        <v>2017</v>
      </c>
      <c r="D50" s="197">
        <v>2016</v>
      </c>
      <c r="E50" s="50"/>
      <c r="F50" s="824">
        <v>2017</v>
      </c>
      <c r="G50" s="197">
        <v>2016</v>
      </c>
    </row>
    <row r="51" spans="1:9" ht="15" x14ac:dyDescent="0.25">
      <c r="A51" s="38"/>
      <c r="B51" s="38"/>
      <c r="C51" s="825"/>
      <c r="D51" s="694"/>
      <c r="E51" s="50"/>
      <c r="F51" s="825"/>
      <c r="G51" s="694"/>
    </row>
    <row r="52" spans="1:9" ht="12" customHeight="1" x14ac:dyDescent="0.25">
      <c r="A52" s="131" t="s">
        <v>1072</v>
      </c>
      <c r="B52" s="131" t="s">
        <v>1074</v>
      </c>
      <c r="C52" s="867">
        <v>114299</v>
      </c>
      <c r="D52" s="229">
        <v>121764</v>
      </c>
      <c r="E52" s="50"/>
      <c r="F52" s="867">
        <v>119562</v>
      </c>
      <c r="G52" s="137">
        <v>125831</v>
      </c>
    </row>
    <row r="53" spans="1:9" ht="12" customHeight="1" x14ac:dyDescent="0.25">
      <c r="A53" s="389" t="s">
        <v>737</v>
      </c>
      <c r="B53" s="389" t="s">
        <v>278</v>
      </c>
      <c r="C53" s="839">
        <f>9862+263</f>
        <v>10125</v>
      </c>
      <c r="D53" s="184">
        <v>2425</v>
      </c>
      <c r="E53" s="50"/>
      <c r="F53" s="839">
        <f>217736+263</f>
        <v>217999</v>
      </c>
      <c r="G53" s="184">
        <v>224859</v>
      </c>
    </row>
    <row r="54" spans="1:9" ht="12" customHeight="1" thickBot="1" x14ac:dyDescent="0.3">
      <c r="A54" s="943" t="s">
        <v>1073</v>
      </c>
      <c r="B54" s="943" t="s">
        <v>1075</v>
      </c>
      <c r="C54" s="855">
        <v>1750</v>
      </c>
      <c r="D54" s="201">
        <v>1561</v>
      </c>
      <c r="E54" s="50"/>
      <c r="F54" s="855">
        <v>1783</v>
      </c>
      <c r="G54" s="201">
        <v>1615</v>
      </c>
    </row>
    <row r="55" spans="1:9" ht="12.75" customHeight="1" thickBot="1" x14ac:dyDescent="0.3">
      <c r="A55" s="673" t="s">
        <v>1076</v>
      </c>
      <c r="B55" s="673" t="s">
        <v>1077</v>
      </c>
      <c r="C55" s="939">
        <f>SUM(C52:C54)</f>
        <v>126174</v>
      </c>
      <c r="D55" s="673">
        <f>SUM(D52:D54)</f>
        <v>125750</v>
      </c>
      <c r="E55" s="50"/>
      <c r="F55" s="939">
        <f>SUM(F52:F54)</f>
        <v>339344</v>
      </c>
      <c r="G55" s="673">
        <f>SUM(G52:G54)</f>
        <v>352305</v>
      </c>
    </row>
    <row r="56" spans="1:9" s="666" customFormat="1" x14ac:dyDescent="0.2">
      <c r="B56" s="683"/>
      <c r="I56" s="683"/>
    </row>
    <row r="57" spans="1:9" s="666" customFormat="1" x14ac:dyDescent="0.2">
      <c r="B57" s="683"/>
      <c r="I57" s="683"/>
    </row>
    <row r="58" spans="1:9" s="666" customFormat="1" x14ac:dyDescent="0.2">
      <c r="B58" s="683"/>
      <c r="I58" s="683"/>
    </row>
    <row r="59" spans="1:9" s="666" customFormat="1" ht="23.25" thickBot="1" x14ac:dyDescent="0.25">
      <c r="A59" s="1420" t="s">
        <v>1440</v>
      </c>
      <c r="B59" s="1420" t="s">
        <v>1439</v>
      </c>
      <c r="E59" s="666" t="s">
        <v>1</v>
      </c>
    </row>
    <row r="60" spans="1:9" s="666" customFormat="1" ht="12" thickBot="1" x14ac:dyDescent="0.25">
      <c r="A60" s="689"/>
      <c r="B60" s="689"/>
      <c r="C60" s="941">
        <v>43100</v>
      </c>
      <c r="D60" s="506">
        <v>42736</v>
      </c>
      <c r="E60" s="506">
        <v>42735</v>
      </c>
    </row>
    <row r="61" spans="1:9" s="666" customFormat="1" x14ac:dyDescent="0.2">
      <c r="A61" s="696"/>
      <c r="B61" s="696"/>
      <c r="C61" s="949"/>
      <c r="D61" s="950"/>
      <c r="E61" s="950"/>
    </row>
    <row r="62" spans="1:9" s="666" customFormat="1" ht="22.5" x14ac:dyDescent="0.2">
      <c r="A62" s="292" t="s">
        <v>1661</v>
      </c>
      <c r="B62" s="292" t="s">
        <v>1664</v>
      </c>
      <c r="C62" s="867">
        <v>142132</v>
      </c>
      <c r="D62" s="229">
        <v>141817</v>
      </c>
      <c r="E62" s="229">
        <v>141817</v>
      </c>
    </row>
    <row r="63" spans="1:9" s="666" customFormat="1" ht="22.5" x14ac:dyDescent="0.2">
      <c r="A63" s="389" t="s">
        <v>1662</v>
      </c>
      <c r="B63" s="389" t="s">
        <v>1665</v>
      </c>
      <c r="C63" s="839">
        <v>12247</v>
      </c>
      <c r="D63" s="184">
        <v>11605</v>
      </c>
      <c r="E63" s="184">
        <v>11605</v>
      </c>
    </row>
    <row r="64" spans="1:9" s="666" customFormat="1" ht="23.25" thickBot="1" x14ac:dyDescent="0.25">
      <c r="A64" s="423" t="s">
        <v>1663</v>
      </c>
      <c r="B64" s="423" t="s">
        <v>1061</v>
      </c>
      <c r="C64" s="855">
        <v>253</v>
      </c>
      <c r="D64" s="201">
        <v>10</v>
      </c>
      <c r="E64" s="201" t="s">
        <v>625</v>
      </c>
    </row>
    <row r="65" spans="1:9" s="666" customFormat="1" ht="12" thickBot="1" x14ac:dyDescent="0.25">
      <c r="A65" s="673" t="s">
        <v>1059</v>
      </c>
      <c r="B65" s="673" t="s">
        <v>1052</v>
      </c>
      <c r="C65" s="939">
        <v>154632</v>
      </c>
      <c r="D65" s="673">
        <v>153432</v>
      </c>
      <c r="E65" s="673">
        <v>153422</v>
      </c>
    </row>
    <row r="66" spans="1:9" s="666" customFormat="1" x14ac:dyDescent="0.2">
      <c r="B66" s="683"/>
      <c r="I66" s="683" t="s">
        <v>998</v>
      </c>
    </row>
    <row r="67" spans="1:9" s="666" customFormat="1" x14ac:dyDescent="0.2">
      <c r="I67" s="683"/>
    </row>
    <row r="68" spans="1:9" s="666" customFormat="1" ht="34.5" thickBot="1" x14ac:dyDescent="0.25">
      <c r="A68" s="1420" t="s">
        <v>1666</v>
      </c>
      <c r="B68" s="1420" t="s">
        <v>1667</v>
      </c>
      <c r="D68" s="951" t="s">
        <v>1</v>
      </c>
      <c r="I68" s="683"/>
    </row>
    <row r="69" spans="1:9" s="666" customFormat="1" ht="12" thickBot="1" x14ac:dyDescent="0.25">
      <c r="A69" s="689"/>
      <c r="B69" s="689"/>
      <c r="C69" s="942">
        <v>2017</v>
      </c>
      <c r="D69" s="373">
        <v>2016</v>
      </c>
    </row>
    <row r="70" spans="1:9" s="666" customFormat="1" x14ac:dyDescent="0.2">
      <c r="A70" s="690" t="s">
        <v>103</v>
      </c>
      <c r="B70" s="691" t="s">
        <v>271</v>
      </c>
      <c r="C70" s="687">
        <v>153432</v>
      </c>
      <c r="D70" s="688">
        <v>153643</v>
      </c>
    </row>
    <row r="71" spans="1:9" s="666" customFormat="1" x14ac:dyDescent="0.2">
      <c r="A71" s="292" t="s">
        <v>1060</v>
      </c>
      <c r="B71" s="292" t="s">
        <v>329</v>
      </c>
      <c r="C71" s="867">
        <v>12848</v>
      </c>
      <c r="D71" s="229">
        <v>11097</v>
      </c>
    </row>
    <row r="72" spans="1:9" s="666" customFormat="1" x14ac:dyDescent="0.2">
      <c r="A72" s="389" t="s">
        <v>1335</v>
      </c>
      <c r="B72" s="389" t="s">
        <v>1333</v>
      </c>
      <c r="C72" s="839">
        <f>-11891+243</f>
        <v>-11648</v>
      </c>
      <c r="D72" s="184">
        <v>-11318</v>
      </c>
    </row>
    <row r="73" spans="1:9" s="666" customFormat="1" ht="12" thickBot="1" x14ac:dyDescent="0.25">
      <c r="A73" s="423" t="s">
        <v>1336</v>
      </c>
      <c r="B73" s="423" t="s">
        <v>1334</v>
      </c>
      <c r="C73" s="855" t="s">
        <v>625</v>
      </c>
      <c r="D73" s="201">
        <v>10</v>
      </c>
    </row>
    <row r="74" spans="1:9" s="666" customFormat="1" ht="12" thickBot="1" x14ac:dyDescent="0.25">
      <c r="A74" s="673" t="s">
        <v>105</v>
      </c>
      <c r="B74" s="673" t="s">
        <v>273</v>
      </c>
      <c r="C74" s="939">
        <v>154632</v>
      </c>
      <c r="D74" s="673">
        <v>153432</v>
      </c>
    </row>
    <row r="75" spans="1:9" s="666" customFormat="1" x14ac:dyDescent="0.2">
      <c r="B75" s="683"/>
    </row>
    <row r="76" spans="1:9" s="666" customFormat="1" ht="78.75" x14ac:dyDescent="0.2">
      <c r="A76" s="683" t="s">
        <v>1668</v>
      </c>
      <c r="B76" s="683" t="s">
        <v>1062</v>
      </c>
    </row>
    <row r="77" spans="1:9" s="666" customFormat="1" x14ac:dyDescent="0.2">
      <c r="B77" s="683"/>
    </row>
    <row r="78" spans="1:9" s="666" customFormat="1" ht="45" x14ac:dyDescent="0.2">
      <c r="A78" s="683" t="s">
        <v>1669</v>
      </c>
      <c r="B78" s="683" t="s">
        <v>1063</v>
      </c>
    </row>
  </sheetData>
  <sheetProtection algorithmName="SHA-512" hashValue="iFvjdzRB4GWAc+iTWVsoggDKmuDRQV7pANBy5tnJBP7bydpXQM5OwwK4aHuXxs9+ScUv2xrdzbgz9uwJQId3Kw==" saltValue="VphFaCXDUe47N5WFTdIwOg==" spinCount="100000" sheet="1" objects="1" scenarios="1"/>
  <mergeCells count="17">
    <mergeCell ref="C40:D40"/>
    <mergeCell ref="A49:A50"/>
    <mergeCell ref="B49:B50"/>
    <mergeCell ref="C49:D49"/>
    <mergeCell ref="F49:G49"/>
    <mergeCell ref="F40:G40"/>
    <mergeCell ref="A5:A6"/>
    <mergeCell ref="B5:B6"/>
    <mergeCell ref="C5:D5"/>
    <mergeCell ref="F5:G5"/>
    <mergeCell ref="A16:D16"/>
    <mergeCell ref="J19:J20"/>
    <mergeCell ref="I19:I20"/>
    <mergeCell ref="A19:A20"/>
    <mergeCell ref="B19:B20"/>
    <mergeCell ref="C19:D19"/>
    <mergeCell ref="F19:G19"/>
  </mergeCells>
  <pageMargins left="0" right="0" top="0.55118110236220474" bottom="0.74803149606299213" header="0.31496062992125984" footer="0.31496062992125984"/>
  <pageSetup paperSize="9"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Normal="100" workbookViewId="0">
      <pane ySplit="2" topLeftCell="A3" activePane="bottomLeft" state="frozen"/>
      <selection pane="bottomLeft" activeCell="A3" sqref="A3"/>
    </sheetView>
  </sheetViews>
  <sheetFormatPr defaultColWidth="9.140625" defaultRowHeight="11.25" outlineLevelCol="1" x14ac:dyDescent="0.25"/>
  <cols>
    <col min="1" max="1" width="51.85546875" style="35" customWidth="1"/>
    <col min="2" max="2" width="47.42578125" style="35" customWidth="1" outlineLevel="1"/>
    <col min="3" max="4" width="14.5703125" style="35" customWidth="1"/>
    <col min="5" max="5" width="4.42578125" style="35" customWidth="1"/>
    <col min="6" max="7" width="14.5703125" style="35" customWidth="1"/>
    <col min="8" max="8" width="13.7109375" style="35" customWidth="1"/>
    <col min="9" max="16384" width="9.140625" style="35"/>
  </cols>
  <sheetData>
    <row r="1" spans="1:7" ht="15.75" x14ac:dyDescent="0.25">
      <c r="A1" s="72" t="str">
        <f>'Key Figures'!A1</f>
        <v>LATVENERGO KONCERNA KONSOLIDĒTIE un</v>
      </c>
      <c r="B1" s="72" t="str">
        <f>'Key Figures'!B1</f>
        <v>LATVENERGO GROUP CONSOLIDATED and</v>
      </c>
      <c r="C1" s="28"/>
      <c r="D1" s="28"/>
    </row>
    <row r="2" spans="1:7" ht="15.75" x14ac:dyDescent="0.25">
      <c r="A2" s="72" t="str">
        <f>'Key Figures'!A2</f>
        <v>AS „LATVENERGO” 2017. GADA FINANŠU PĀRSKATI</v>
      </c>
      <c r="B2" s="72" t="str">
        <f>'Key Figures'!B2</f>
        <v>LATVENERGO AS FINANCIAL STATEMENTS 2017</v>
      </c>
      <c r="C2" s="28"/>
      <c r="D2" s="28"/>
    </row>
    <row r="3" spans="1:7" s="37" customFormat="1" ht="15.75" x14ac:dyDescent="0.25">
      <c r="C3" s="36"/>
      <c r="D3" s="36"/>
      <c r="E3" s="22"/>
    </row>
    <row r="4" spans="1:7" ht="23.25" customHeight="1" x14ac:dyDescent="0.25">
      <c r="A4" s="1515"/>
      <c r="B4" s="1515"/>
      <c r="C4" s="1515"/>
      <c r="D4" s="1515"/>
    </row>
    <row r="6" spans="1:7" s="37" customFormat="1" ht="16.5" thickBot="1" x14ac:dyDescent="0.3">
      <c r="A6" s="36" t="s">
        <v>1103</v>
      </c>
      <c r="B6" s="36" t="s">
        <v>1721</v>
      </c>
      <c r="C6" s="36"/>
      <c r="D6" s="36"/>
      <c r="G6" s="441" t="s">
        <v>51</v>
      </c>
    </row>
    <row r="7" spans="1:7" s="25" customFormat="1" ht="18.75" customHeight="1" x14ac:dyDescent="0.25">
      <c r="A7" s="1481"/>
      <c r="B7" s="1481"/>
      <c r="C7" s="1470" t="s">
        <v>949</v>
      </c>
      <c r="D7" s="1470"/>
      <c r="E7" s="176"/>
      <c r="F7" s="1470" t="s">
        <v>1403</v>
      </c>
      <c r="G7" s="1470"/>
    </row>
    <row r="8" spans="1:7" s="23" customFormat="1" ht="15.75" thickBot="1" x14ac:dyDescent="0.3">
      <c r="A8" s="1482"/>
      <c r="B8" s="1482"/>
      <c r="C8" s="824">
        <v>2017</v>
      </c>
      <c r="D8" s="197">
        <v>2016</v>
      </c>
      <c r="E8" s="177"/>
      <c r="F8" s="824">
        <v>2017</v>
      </c>
      <c r="G8" s="197">
        <v>2016</v>
      </c>
    </row>
    <row r="9" spans="1:7" x14ac:dyDescent="0.25">
      <c r="A9" s="39"/>
      <c r="B9" s="39"/>
      <c r="C9" s="825"/>
      <c r="D9" s="40"/>
      <c r="F9" s="825"/>
      <c r="G9" s="40"/>
    </row>
    <row r="10" spans="1:7" ht="22.5" x14ac:dyDescent="0.2">
      <c r="A10" s="1145" t="s">
        <v>1670</v>
      </c>
      <c r="B10" s="1144" t="s">
        <v>1671</v>
      </c>
      <c r="C10" s="955">
        <v>140000</v>
      </c>
      <c r="D10" s="1110" t="s">
        <v>572</v>
      </c>
      <c r="F10" s="955">
        <v>140000</v>
      </c>
      <c r="G10" s="1110" t="s">
        <v>572</v>
      </c>
    </row>
    <row r="11" spans="1:7" x14ac:dyDescent="0.2">
      <c r="A11" s="389" t="s">
        <v>391</v>
      </c>
      <c r="B11" s="420" t="s">
        <v>390</v>
      </c>
      <c r="C11" s="955">
        <v>254</v>
      </c>
      <c r="D11" s="418">
        <v>635</v>
      </c>
      <c r="F11" s="955">
        <v>929</v>
      </c>
      <c r="G11" s="418">
        <v>503</v>
      </c>
    </row>
    <row r="12" spans="1:7" ht="12" thickBot="1" x14ac:dyDescent="0.3">
      <c r="A12" s="1146" t="s">
        <v>78</v>
      </c>
      <c r="B12" s="1146" t="s">
        <v>389</v>
      </c>
      <c r="C12" s="855">
        <v>9696</v>
      </c>
      <c r="D12" s="201">
        <v>6021</v>
      </c>
      <c r="F12" s="855">
        <v>6573</v>
      </c>
      <c r="G12" s="201">
        <v>2612</v>
      </c>
    </row>
    <row r="13" spans="1:7" ht="12" thickBot="1" x14ac:dyDescent="0.3">
      <c r="A13" s="673" t="s">
        <v>79</v>
      </c>
      <c r="B13" s="673" t="s">
        <v>378</v>
      </c>
      <c r="C13" s="939">
        <f>SUM(C10:C12)</f>
        <v>149950</v>
      </c>
      <c r="D13" s="673">
        <v>6656</v>
      </c>
      <c r="F13" s="939">
        <f>SUM(F10:F12)</f>
        <v>147502</v>
      </c>
      <c r="G13" s="673">
        <f>SUM(G11:G12)</f>
        <v>3115</v>
      </c>
    </row>
    <row r="14" spans="1:7" x14ac:dyDescent="0.25">
      <c r="A14" s="41"/>
      <c r="B14" s="41"/>
      <c r="C14" s="41"/>
      <c r="D14" s="41"/>
    </row>
  </sheetData>
  <sheetProtection algorithmName="SHA-512" hashValue="LfiDSJd9eyVxgu0C40DNZLY7i0vgTbk9KV3ORbfRDuP8y7cbMBYzu4k7BlaQW3Xj68b250k1bJqvwZIaToZVEQ==" saltValue="danKfEvaXAu1MjABYTQ6DA==" spinCount="100000" sheet="1" objects="1" scenarios="1"/>
  <mergeCells count="5">
    <mergeCell ref="A7:A8"/>
    <mergeCell ref="B7:B8"/>
    <mergeCell ref="C7:D7"/>
    <mergeCell ref="F7:G7"/>
    <mergeCell ref="A4:D4"/>
  </mergeCells>
  <pageMargins left="0" right="0" top="0.55118110236220474"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zoomScaleNormal="100" workbookViewId="0">
      <pane ySplit="2" topLeftCell="A3" activePane="bottomLeft" state="frozen"/>
      <selection pane="bottomLeft" activeCell="A3" sqref="A3"/>
    </sheetView>
  </sheetViews>
  <sheetFormatPr defaultColWidth="9.140625" defaultRowHeight="11.25" outlineLevelCol="1" x14ac:dyDescent="0.25"/>
  <cols>
    <col min="1" max="1" width="46.7109375" style="35" customWidth="1"/>
    <col min="2" max="2" width="41.7109375" style="35" customWidth="1" outlineLevel="1"/>
    <col min="3" max="4" width="14.5703125" style="35" customWidth="1"/>
    <col min="5" max="5" width="4.42578125" style="35" customWidth="1"/>
    <col min="6" max="7" width="14.5703125" style="35" customWidth="1"/>
    <col min="8" max="8" width="13.7109375" style="35" customWidth="1"/>
    <col min="9" max="16384" width="9.140625" style="35"/>
  </cols>
  <sheetData>
    <row r="1" spans="1:7" ht="15.75" x14ac:dyDescent="0.25">
      <c r="A1" s="72" t="s">
        <v>1727</v>
      </c>
      <c r="B1" s="72" t="s">
        <v>1728</v>
      </c>
    </row>
    <row r="2" spans="1:7" ht="15.75" x14ac:dyDescent="0.25">
      <c r="A2" s="72" t="s">
        <v>970</v>
      </c>
      <c r="B2" s="72" t="s">
        <v>969</v>
      </c>
    </row>
    <row r="3" spans="1:7" s="37" customFormat="1" ht="15.75" x14ac:dyDescent="0.25">
      <c r="C3" s="28"/>
      <c r="D3" s="28"/>
      <c r="E3" s="22"/>
    </row>
    <row r="4" spans="1:7" x14ac:dyDescent="0.25">
      <c r="A4" s="41"/>
      <c r="B4" s="41"/>
      <c r="C4" s="41"/>
      <c r="D4" s="41"/>
    </row>
    <row r="5" spans="1:7" s="37" customFormat="1" ht="16.5" thickBot="1" x14ac:dyDescent="0.3">
      <c r="A5" s="36" t="s">
        <v>1105</v>
      </c>
      <c r="B5" s="36" t="s">
        <v>1717</v>
      </c>
      <c r="C5" s="36"/>
      <c r="D5" s="36"/>
      <c r="G5" s="705" t="s">
        <v>51</v>
      </c>
    </row>
    <row r="6" spans="1:7" s="25" customFormat="1" ht="18.75" customHeight="1" thickBot="1" x14ac:dyDescent="0.3">
      <c r="A6" s="1481"/>
      <c r="B6" s="1481"/>
      <c r="C6" s="1481" t="s">
        <v>949</v>
      </c>
      <c r="D6" s="1481"/>
      <c r="E6" s="176"/>
      <c r="F6" s="1481" t="s">
        <v>1403</v>
      </c>
      <c r="G6" s="1481"/>
    </row>
    <row r="7" spans="1:7" s="23" customFormat="1" ht="15.75" thickBot="1" x14ac:dyDescent="0.3">
      <c r="A7" s="1487"/>
      <c r="B7" s="1487"/>
      <c r="C7" s="1316">
        <v>2017</v>
      </c>
      <c r="D7" s="1317">
        <v>2016</v>
      </c>
      <c r="E7" s="177"/>
      <c r="F7" s="1316">
        <v>2017</v>
      </c>
      <c r="G7" s="1317">
        <v>2016</v>
      </c>
    </row>
    <row r="8" spans="1:7" x14ac:dyDescent="0.25">
      <c r="A8" s="39"/>
      <c r="B8" s="39"/>
      <c r="C8" s="1416"/>
      <c r="D8" s="40"/>
      <c r="F8" s="1416"/>
      <c r="G8" s="40"/>
    </row>
    <row r="9" spans="1:7" x14ac:dyDescent="0.25">
      <c r="A9" s="66" t="s">
        <v>80</v>
      </c>
      <c r="B9" s="66" t="s">
        <v>252</v>
      </c>
      <c r="C9" s="826"/>
      <c r="D9" s="66"/>
      <c r="F9" s="826"/>
      <c r="G9" s="66"/>
    </row>
    <row r="10" spans="1:7" x14ac:dyDescent="0.25">
      <c r="A10" s="292" t="s">
        <v>869</v>
      </c>
      <c r="B10" s="292" t="s">
        <v>870</v>
      </c>
      <c r="C10" s="786">
        <v>124521</v>
      </c>
      <c r="D10" s="345">
        <v>148453</v>
      </c>
      <c r="E10" s="821"/>
      <c r="F10" s="786">
        <v>27094</v>
      </c>
      <c r="G10" s="345">
        <v>48083</v>
      </c>
    </row>
    <row r="11" spans="1:7" ht="22.5" x14ac:dyDescent="0.2">
      <c r="A11" s="389" t="s">
        <v>872</v>
      </c>
      <c r="B11" s="420" t="s">
        <v>871</v>
      </c>
      <c r="C11" s="780">
        <v>3435</v>
      </c>
      <c r="D11" s="820">
        <v>-6515</v>
      </c>
      <c r="E11" s="822"/>
      <c r="F11" s="1421">
        <v>3435</v>
      </c>
      <c r="G11" s="820">
        <v>-6515</v>
      </c>
    </row>
    <row r="12" spans="1:7" ht="12" thickBot="1" x14ac:dyDescent="0.3">
      <c r="A12" s="1146" t="s">
        <v>387</v>
      </c>
      <c r="B12" s="423" t="s">
        <v>388</v>
      </c>
      <c r="C12" s="782">
        <v>71044</v>
      </c>
      <c r="D12" s="226">
        <v>72584</v>
      </c>
      <c r="E12" s="821"/>
      <c r="F12" s="827">
        <v>845</v>
      </c>
      <c r="G12" s="226">
        <v>1009</v>
      </c>
    </row>
    <row r="13" spans="1:7" x14ac:dyDescent="0.25">
      <c r="A13" s="293"/>
      <c r="B13" s="823"/>
      <c r="C13" s="687">
        <v>199000</v>
      </c>
      <c r="D13" s="205">
        <v>214522</v>
      </c>
      <c r="E13" s="821"/>
      <c r="F13" s="687">
        <v>31374</v>
      </c>
      <c r="G13" s="205">
        <v>42577</v>
      </c>
    </row>
    <row r="14" spans="1:7" x14ac:dyDescent="0.25">
      <c r="A14" s="150" t="s">
        <v>811</v>
      </c>
      <c r="B14" s="150" t="s">
        <v>810</v>
      </c>
      <c r="C14" s="780">
        <v>118185</v>
      </c>
      <c r="D14" s="190">
        <v>137720</v>
      </c>
      <c r="E14" s="821"/>
      <c r="F14" s="780">
        <v>112248</v>
      </c>
      <c r="G14" s="190">
        <v>131952</v>
      </c>
    </row>
    <row r="15" spans="1:7" ht="12" thickBot="1" x14ac:dyDescent="0.3">
      <c r="A15" s="389" t="s">
        <v>81</v>
      </c>
      <c r="B15" s="423" t="s">
        <v>253</v>
      </c>
      <c r="C15" s="782">
        <v>29726</v>
      </c>
      <c r="D15" s="226">
        <v>33572</v>
      </c>
      <c r="E15" s="821"/>
      <c r="F15" s="782">
        <v>10332</v>
      </c>
      <c r="G15" s="226">
        <v>11729</v>
      </c>
    </row>
    <row r="16" spans="1:7" ht="12" thickBot="1" x14ac:dyDescent="0.3">
      <c r="A16" s="408" t="s">
        <v>82</v>
      </c>
      <c r="B16" s="673" t="s">
        <v>377</v>
      </c>
      <c r="C16" s="784">
        <v>346911</v>
      </c>
      <c r="D16" s="328">
        <f>D13+D14+D15</f>
        <v>385814</v>
      </c>
      <c r="E16" s="821"/>
      <c r="F16" s="784">
        <v>153954</v>
      </c>
      <c r="G16" s="328">
        <v>186258</v>
      </c>
    </row>
    <row r="17" spans="1:7" ht="15" x14ac:dyDescent="0.25">
      <c r="C17" s="28"/>
    </row>
    <row r="18" spans="1:7" s="37" customFormat="1" ht="16.5" thickBot="1" x14ac:dyDescent="0.3">
      <c r="A18" s="36" t="s">
        <v>1104</v>
      </c>
      <c r="B18" s="36" t="s">
        <v>1718</v>
      </c>
      <c r="C18" s="36"/>
      <c r="D18" s="36"/>
      <c r="G18" s="705" t="str">
        <f>G5</f>
        <v>EUR'000</v>
      </c>
    </row>
    <row r="19" spans="1:7" s="25" customFormat="1" ht="18.75" customHeight="1" thickBot="1" x14ac:dyDescent="0.3">
      <c r="A19" s="1481"/>
      <c r="B19" s="1481"/>
      <c r="C19" s="1470" t="s">
        <v>949</v>
      </c>
      <c r="D19" s="1470"/>
      <c r="E19" s="176"/>
      <c r="F19" s="1470" t="str">
        <f>F6</f>
        <v>Mātessabiedrība/Parent Company</v>
      </c>
      <c r="G19" s="1470"/>
    </row>
    <row r="20" spans="1:7" s="23" customFormat="1" ht="15.75" thickBot="1" x14ac:dyDescent="0.3">
      <c r="A20" s="1487"/>
      <c r="B20" s="1487"/>
      <c r="C20" s="1316">
        <v>2017</v>
      </c>
      <c r="D20" s="1317">
        <v>2016</v>
      </c>
      <c r="E20" s="177"/>
      <c r="F20" s="1316">
        <v>2017</v>
      </c>
      <c r="G20" s="1317">
        <v>2016</v>
      </c>
    </row>
    <row r="21" spans="1:7" x14ac:dyDescent="0.25">
      <c r="A21" s="39"/>
      <c r="B21" s="39"/>
      <c r="C21" s="1416"/>
      <c r="D21" s="40"/>
      <c r="F21" s="1416"/>
      <c r="G21" s="40"/>
    </row>
    <row r="22" spans="1:7" x14ac:dyDescent="0.25">
      <c r="A22" s="39"/>
      <c r="B22" s="39"/>
      <c r="C22" s="1416"/>
      <c r="D22" s="40"/>
      <c r="F22" s="1416"/>
      <c r="G22" s="40"/>
    </row>
    <row r="23" spans="1:7" x14ac:dyDescent="0.25">
      <c r="A23" s="150" t="s">
        <v>83</v>
      </c>
      <c r="B23" s="150" t="s">
        <v>254</v>
      </c>
      <c r="C23" s="867">
        <v>74453</v>
      </c>
      <c r="D23" s="229">
        <v>71848</v>
      </c>
      <c r="F23" s="867">
        <v>31233</v>
      </c>
      <c r="G23" s="229">
        <v>29375</v>
      </c>
    </row>
    <row r="24" spans="1:7" x14ac:dyDescent="0.25">
      <c r="A24" s="389" t="s">
        <v>84</v>
      </c>
      <c r="B24" s="389" t="s">
        <v>255</v>
      </c>
      <c r="C24" s="867">
        <v>15086</v>
      </c>
      <c r="D24" s="229">
        <v>1522</v>
      </c>
      <c r="F24" s="867">
        <v>3845</v>
      </c>
      <c r="G24" s="229">
        <v>600</v>
      </c>
    </row>
    <row r="25" spans="1:7" ht="11.25" customHeight="1" x14ac:dyDescent="0.25">
      <c r="A25" s="389" t="s">
        <v>85</v>
      </c>
      <c r="B25" s="389" t="s">
        <v>256</v>
      </c>
      <c r="C25" s="867">
        <v>2225</v>
      </c>
      <c r="D25" s="229">
        <v>2301</v>
      </c>
      <c r="F25" s="867">
        <v>901</v>
      </c>
      <c r="G25" s="229">
        <v>938</v>
      </c>
    </row>
    <row r="26" spans="1:7" ht="22.5" x14ac:dyDescent="0.2">
      <c r="A26" s="389" t="s">
        <v>86</v>
      </c>
      <c r="B26" s="389" t="s">
        <v>257</v>
      </c>
      <c r="C26" s="955">
        <v>18574</v>
      </c>
      <c r="D26" s="418">
        <v>17887</v>
      </c>
      <c r="F26" s="955">
        <v>7685</v>
      </c>
      <c r="G26" s="418">
        <v>7200</v>
      </c>
    </row>
    <row r="27" spans="1:7" ht="11.25" customHeight="1" x14ac:dyDescent="0.25">
      <c r="A27" s="389" t="s">
        <v>740</v>
      </c>
      <c r="B27" s="389" t="s">
        <v>741</v>
      </c>
      <c r="C27" s="867">
        <v>3131</v>
      </c>
      <c r="D27" s="229">
        <v>2670</v>
      </c>
      <c r="F27" s="867">
        <v>1228</v>
      </c>
      <c r="G27" s="229">
        <v>1052</v>
      </c>
    </row>
    <row r="28" spans="1:7" ht="12" thickBot="1" x14ac:dyDescent="0.3">
      <c r="A28" s="150" t="s">
        <v>484</v>
      </c>
      <c r="B28" s="150" t="s">
        <v>485</v>
      </c>
      <c r="C28" s="857">
        <v>-180</v>
      </c>
      <c r="D28" s="397">
        <v>-209</v>
      </c>
      <c r="F28" s="857" t="s">
        <v>572</v>
      </c>
      <c r="G28" s="397" t="s">
        <v>572</v>
      </c>
    </row>
    <row r="29" spans="1:7" ht="22.5" x14ac:dyDescent="0.2">
      <c r="A29" s="973" t="s">
        <v>87</v>
      </c>
      <c r="B29" s="974" t="s">
        <v>284</v>
      </c>
      <c r="C29" s="971">
        <v>113289</v>
      </c>
      <c r="D29" s="972">
        <v>96019</v>
      </c>
      <c r="F29" s="971">
        <v>44892</v>
      </c>
      <c r="G29" s="972">
        <v>39165</v>
      </c>
    </row>
    <row r="30" spans="1:7" x14ac:dyDescent="0.25">
      <c r="A30" s="1415"/>
      <c r="B30" s="1415"/>
      <c r="C30" s="1416"/>
      <c r="D30" s="100"/>
      <c r="F30" s="1416"/>
      <c r="G30" s="100"/>
    </row>
    <row r="31" spans="1:7" x14ac:dyDescent="0.25">
      <c r="A31" s="1415" t="s">
        <v>673</v>
      </c>
      <c r="B31" s="1415" t="s">
        <v>676</v>
      </c>
      <c r="C31" s="1416"/>
      <c r="D31" s="100"/>
      <c r="F31" s="1416"/>
      <c r="G31" s="100"/>
    </row>
    <row r="32" spans="1:7" x14ac:dyDescent="0.25">
      <c r="A32" s="292" t="s">
        <v>83</v>
      </c>
      <c r="B32" s="292" t="s">
        <v>254</v>
      </c>
      <c r="C32" s="881">
        <v>1880</v>
      </c>
      <c r="D32" s="269">
        <v>1531</v>
      </c>
      <c r="E32" s="108"/>
      <c r="F32" s="881">
        <v>865</v>
      </c>
      <c r="G32" s="269">
        <v>644</v>
      </c>
    </row>
    <row r="33" spans="1:7" x14ac:dyDescent="0.25">
      <c r="A33" s="389" t="s">
        <v>84</v>
      </c>
      <c r="B33" s="389" t="s">
        <v>255</v>
      </c>
      <c r="C33" s="840">
        <v>206</v>
      </c>
      <c r="D33" s="250">
        <v>22</v>
      </c>
      <c r="F33" s="840" t="s">
        <v>572</v>
      </c>
      <c r="G33" s="250" t="s">
        <v>572</v>
      </c>
    </row>
    <row r="34" spans="1:7" x14ac:dyDescent="0.25">
      <c r="A34" s="389" t="s">
        <v>85</v>
      </c>
      <c r="B34" s="389" t="s">
        <v>256</v>
      </c>
      <c r="C34" s="840">
        <v>30</v>
      </c>
      <c r="D34" s="250">
        <v>36</v>
      </c>
      <c r="F34" s="840" t="s">
        <v>572</v>
      </c>
      <c r="G34" s="250">
        <v>7</v>
      </c>
    </row>
    <row r="35" spans="1:7" ht="22.5" x14ac:dyDescent="0.2">
      <c r="A35" s="423" t="s">
        <v>86</v>
      </c>
      <c r="B35" s="423" t="s">
        <v>257</v>
      </c>
      <c r="C35" s="966">
        <v>451</v>
      </c>
      <c r="D35" s="967">
        <v>367</v>
      </c>
      <c r="F35" s="966">
        <v>206</v>
      </c>
      <c r="G35" s="967">
        <v>152</v>
      </c>
    </row>
    <row r="36" spans="1:7" ht="12" thickBot="1" x14ac:dyDescent="0.3">
      <c r="A36" s="389" t="s">
        <v>740</v>
      </c>
      <c r="B36" s="389" t="s">
        <v>741</v>
      </c>
      <c r="C36" s="840">
        <v>26</v>
      </c>
      <c r="D36" s="250">
        <v>22</v>
      </c>
      <c r="F36" s="840">
        <v>7</v>
      </c>
      <c r="G36" s="250">
        <v>8</v>
      </c>
    </row>
    <row r="37" spans="1:7" ht="12" thickBot="1" x14ac:dyDescent="0.3">
      <c r="A37" s="673" t="s">
        <v>674</v>
      </c>
      <c r="B37" s="970" t="s">
        <v>675</v>
      </c>
      <c r="C37" s="784">
        <f>SUM(C32:C36)</f>
        <v>2593</v>
      </c>
      <c r="D37" s="328">
        <f>SUM(D32:D36)</f>
        <v>1978</v>
      </c>
      <c r="F37" s="784">
        <f>SUM(F32:F36)</f>
        <v>1078</v>
      </c>
      <c r="G37" s="328">
        <f>SUM(G32:G36)</f>
        <v>811</v>
      </c>
    </row>
    <row r="38" spans="1:7" s="74" customFormat="1" ht="69" customHeight="1" x14ac:dyDescent="0.25">
      <c r="A38" s="1422" t="s">
        <v>1675</v>
      </c>
      <c r="B38" s="1423" t="s">
        <v>1676</v>
      </c>
      <c r="C38" s="1413"/>
      <c r="D38" s="1413"/>
    </row>
    <row r="39" spans="1:7" s="74" customFormat="1" ht="12.75" thickBot="1" x14ac:dyDescent="0.3">
      <c r="A39" s="75"/>
      <c r="B39" s="1424"/>
      <c r="C39" s="1413"/>
      <c r="D39" s="1413"/>
      <c r="G39" s="706" t="str">
        <f>G18</f>
        <v>EUR'000</v>
      </c>
    </row>
    <row r="40" spans="1:7" s="25" customFormat="1" ht="18.75" customHeight="1" thickBot="1" x14ac:dyDescent="0.3">
      <c r="A40" s="1481"/>
      <c r="B40" s="1481"/>
      <c r="C40" s="1470" t="s">
        <v>949</v>
      </c>
      <c r="D40" s="1470"/>
      <c r="E40" s="176"/>
      <c r="F40" s="1470" t="str">
        <f>F6</f>
        <v>Mātessabiedrība/Parent Company</v>
      </c>
      <c r="G40" s="1470"/>
    </row>
    <row r="41" spans="1:7" s="23" customFormat="1" ht="15.75" thickBot="1" x14ac:dyDescent="0.3">
      <c r="A41" s="1487"/>
      <c r="B41" s="1487"/>
      <c r="C41" s="1316">
        <v>2017</v>
      </c>
      <c r="D41" s="1317">
        <v>2016</v>
      </c>
      <c r="E41" s="177"/>
      <c r="F41" s="1316">
        <v>2017</v>
      </c>
      <c r="G41" s="1317">
        <v>2016</v>
      </c>
    </row>
    <row r="42" spans="1:7" s="74" customFormat="1" x14ac:dyDescent="0.25">
      <c r="A42" s="139" t="s">
        <v>569</v>
      </c>
      <c r="B42" s="139" t="s">
        <v>556</v>
      </c>
      <c r="C42" s="881">
        <v>3908</v>
      </c>
      <c r="D42" s="269">
        <v>4131</v>
      </c>
      <c r="E42" s="1413"/>
      <c r="F42" s="881">
        <v>1431</v>
      </c>
      <c r="G42" s="426">
        <v>1472</v>
      </c>
    </row>
    <row r="43" spans="1:7" s="74" customFormat="1" ht="12" thickBot="1" x14ac:dyDescent="0.3">
      <c r="A43" s="164" t="s">
        <v>570</v>
      </c>
      <c r="B43" s="164" t="s">
        <v>571</v>
      </c>
      <c r="C43" s="957">
        <v>4075</v>
      </c>
      <c r="D43" s="428">
        <v>4176</v>
      </c>
      <c r="E43" s="1413"/>
      <c r="F43" s="957">
        <v>1467</v>
      </c>
      <c r="G43" s="427">
        <v>1478</v>
      </c>
    </row>
    <row r="44" spans="1:7" x14ac:dyDescent="0.25">
      <c r="C44" s="108"/>
      <c r="D44" s="108"/>
    </row>
    <row r="45" spans="1:7" s="37" customFormat="1" ht="35.450000000000003" customHeight="1" thickBot="1" x14ac:dyDescent="0.3">
      <c r="A45" s="1425" t="s">
        <v>479</v>
      </c>
      <c r="B45" s="1426" t="s">
        <v>1719</v>
      </c>
      <c r="C45" s="28"/>
      <c r="D45" s="109"/>
      <c r="G45" s="707" t="str">
        <f>G39</f>
        <v>EUR'000</v>
      </c>
    </row>
    <row r="46" spans="1:7" s="25" customFormat="1" ht="18.75" customHeight="1" thickBot="1" x14ac:dyDescent="0.3">
      <c r="A46" s="1481"/>
      <c r="B46" s="1481"/>
      <c r="C46" s="1470" t="s">
        <v>949</v>
      </c>
      <c r="D46" s="1470"/>
      <c r="E46" s="176"/>
      <c r="F46" s="1470" t="str">
        <f>F6</f>
        <v>Mātessabiedrība/Parent Company</v>
      </c>
      <c r="G46" s="1470"/>
    </row>
    <row r="47" spans="1:7" s="23" customFormat="1" ht="15.75" thickBot="1" x14ac:dyDescent="0.3">
      <c r="A47" s="1487"/>
      <c r="B47" s="1487"/>
      <c r="C47" s="1316">
        <v>2017</v>
      </c>
      <c r="D47" s="1317">
        <v>2016</v>
      </c>
      <c r="E47" s="177"/>
      <c r="F47" s="1316">
        <v>2017</v>
      </c>
      <c r="G47" s="1317">
        <v>2016</v>
      </c>
    </row>
    <row r="48" spans="1:7" x14ac:dyDescent="0.25">
      <c r="A48" s="39"/>
      <c r="B48" s="39"/>
      <c r="C48" s="1416"/>
      <c r="D48" s="40"/>
      <c r="F48" s="1416"/>
      <c r="G48" s="40"/>
    </row>
    <row r="49" spans="1:7" x14ac:dyDescent="0.25">
      <c r="A49" s="39"/>
      <c r="B49" s="39"/>
      <c r="C49" s="1416"/>
      <c r="D49" s="115"/>
      <c r="F49" s="1416"/>
      <c r="G49" s="115"/>
    </row>
    <row r="50" spans="1:7" x14ac:dyDescent="0.25">
      <c r="A50" s="131" t="s">
        <v>764</v>
      </c>
      <c r="B50" s="92" t="s">
        <v>756</v>
      </c>
      <c r="C50" s="867">
        <v>6210</v>
      </c>
      <c r="D50" s="137">
        <v>7524</v>
      </c>
      <c r="F50" s="867">
        <v>4817</v>
      </c>
      <c r="G50" s="137">
        <v>5590</v>
      </c>
    </row>
    <row r="51" spans="1:7" x14ac:dyDescent="0.25">
      <c r="A51" s="110" t="s">
        <v>765</v>
      </c>
      <c r="B51" s="82" t="s">
        <v>757</v>
      </c>
      <c r="C51" s="839">
        <v>5143</v>
      </c>
      <c r="D51" s="116">
        <v>4974</v>
      </c>
      <c r="F51" s="839">
        <v>4931</v>
      </c>
      <c r="G51" s="116">
        <v>4730</v>
      </c>
    </row>
    <row r="52" spans="1:7" x14ac:dyDescent="0.25">
      <c r="A52" s="110" t="s">
        <v>88</v>
      </c>
      <c r="B52" s="82" t="s">
        <v>258</v>
      </c>
      <c r="C52" s="839">
        <v>6204</v>
      </c>
      <c r="D52" s="116">
        <v>6125</v>
      </c>
      <c r="F52" s="839">
        <v>2185</v>
      </c>
      <c r="G52" s="116">
        <v>2228</v>
      </c>
    </row>
    <row r="53" spans="1:7" x14ac:dyDescent="0.25">
      <c r="A53" s="110" t="s">
        <v>527</v>
      </c>
      <c r="B53" s="82" t="s">
        <v>758</v>
      </c>
      <c r="C53" s="839">
        <v>11900</v>
      </c>
      <c r="D53" s="116">
        <v>4507</v>
      </c>
      <c r="F53" s="839">
        <v>11205</v>
      </c>
      <c r="G53" s="116">
        <v>3852</v>
      </c>
    </row>
    <row r="54" spans="1:7" x14ac:dyDescent="0.25">
      <c r="A54" s="110" t="s">
        <v>766</v>
      </c>
      <c r="B54" s="82" t="s">
        <v>759</v>
      </c>
      <c r="C54" s="839">
        <v>8261</v>
      </c>
      <c r="D54" s="116">
        <v>6226</v>
      </c>
      <c r="F54" s="839">
        <v>7825</v>
      </c>
      <c r="G54" s="116">
        <v>6424</v>
      </c>
    </row>
    <row r="55" spans="1:7" x14ac:dyDescent="0.25">
      <c r="A55" s="110" t="s">
        <v>767</v>
      </c>
      <c r="B55" s="82" t="s">
        <v>760</v>
      </c>
      <c r="C55" s="839">
        <v>2224</v>
      </c>
      <c r="D55" s="116">
        <v>1974</v>
      </c>
      <c r="F55" s="839">
        <v>2552</v>
      </c>
      <c r="G55" s="116">
        <v>2303</v>
      </c>
    </row>
    <row r="56" spans="1:7" x14ac:dyDescent="0.25">
      <c r="A56" s="110" t="s">
        <v>768</v>
      </c>
      <c r="B56" s="82" t="s">
        <v>761</v>
      </c>
      <c r="C56" s="839">
        <v>303</v>
      </c>
      <c r="D56" s="116">
        <v>294</v>
      </c>
      <c r="F56" s="839">
        <v>4</v>
      </c>
      <c r="G56" s="116">
        <v>4</v>
      </c>
    </row>
    <row r="57" spans="1:7" x14ac:dyDescent="0.25">
      <c r="A57" s="110" t="s">
        <v>89</v>
      </c>
      <c r="B57" s="82" t="s">
        <v>259</v>
      </c>
      <c r="C57" s="839">
        <v>1086</v>
      </c>
      <c r="D57" s="116">
        <v>1091</v>
      </c>
      <c r="F57" s="839">
        <v>1074</v>
      </c>
      <c r="G57" s="116">
        <v>1073</v>
      </c>
    </row>
    <row r="58" spans="1:7" x14ac:dyDescent="0.25">
      <c r="A58" s="110" t="s">
        <v>90</v>
      </c>
      <c r="B58" s="82" t="s">
        <v>260</v>
      </c>
      <c r="C58" s="839">
        <v>1996</v>
      </c>
      <c r="D58" s="116">
        <v>1486</v>
      </c>
      <c r="F58" s="839">
        <v>932</v>
      </c>
      <c r="G58" s="116">
        <v>780</v>
      </c>
    </row>
    <row r="59" spans="1:7" x14ac:dyDescent="0.25">
      <c r="A59" s="110" t="s">
        <v>763</v>
      </c>
      <c r="B59" s="82" t="s">
        <v>762</v>
      </c>
      <c r="C59" s="839">
        <v>15087</v>
      </c>
      <c r="D59" s="116">
        <v>14847</v>
      </c>
      <c r="F59" s="839">
        <v>14859</v>
      </c>
      <c r="G59" s="116">
        <v>14650</v>
      </c>
    </row>
    <row r="60" spans="1:7" x14ac:dyDescent="0.25">
      <c r="A60" s="110" t="s">
        <v>1677</v>
      </c>
      <c r="B60" s="82" t="s">
        <v>1678</v>
      </c>
      <c r="C60" s="839">
        <v>93</v>
      </c>
      <c r="D60" s="116">
        <v>89</v>
      </c>
      <c r="F60" s="839">
        <v>38</v>
      </c>
      <c r="G60" s="116">
        <v>41</v>
      </c>
    </row>
    <row r="61" spans="1:7" ht="12" thickBot="1" x14ac:dyDescent="0.3">
      <c r="A61" s="964" t="s">
        <v>91</v>
      </c>
      <c r="B61" s="965" t="s">
        <v>261</v>
      </c>
      <c r="C61" s="855">
        <v>15174</v>
      </c>
      <c r="D61" s="930">
        <v>13906</v>
      </c>
      <c r="F61" s="1132">
        <v>9714</v>
      </c>
      <c r="G61" s="1427">
        <v>7974</v>
      </c>
    </row>
    <row r="62" spans="1:7" ht="12" thickBot="1" x14ac:dyDescent="0.3">
      <c r="A62" s="673" t="s">
        <v>92</v>
      </c>
      <c r="B62" s="673" t="s">
        <v>384</v>
      </c>
      <c r="C62" s="884">
        <f>SUM(C50:C61)</f>
        <v>73681</v>
      </c>
      <c r="D62" s="272">
        <f>SUM(D50:D61)</f>
        <v>63043</v>
      </c>
      <c r="F62" s="884">
        <f>SUM(F50:F61)</f>
        <v>60136</v>
      </c>
      <c r="G62" s="272">
        <f>SUM(G50:G61)</f>
        <v>49649</v>
      </c>
    </row>
    <row r="63" spans="1:7" ht="59.25" customHeight="1" x14ac:dyDescent="0.25">
      <c r="A63" s="1428" t="s">
        <v>873</v>
      </c>
      <c r="B63" s="1428" t="s">
        <v>1679</v>
      </c>
      <c r="C63" s="1414"/>
      <c r="D63" s="1414"/>
    </row>
    <row r="64" spans="1:7" ht="67.5" x14ac:dyDescent="0.25">
      <c r="A64" s="1423" t="s">
        <v>1680</v>
      </c>
      <c r="B64" s="1423" t="s">
        <v>1681</v>
      </c>
      <c r="C64" s="42"/>
      <c r="D64" s="42"/>
    </row>
    <row r="65" spans="1:7" x14ac:dyDescent="0.25">
      <c r="A65" s="1423"/>
      <c r="B65" s="1423"/>
      <c r="C65" s="42"/>
      <c r="D65" s="42"/>
    </row>
    <row r="66" spans="1:7" s="37" customFormat="1" ht="15.75" x14ac:dyDescent="0.25">
      <c r="A66" s="36" t="s">
        <v>1106</v>
      </c>
      <c r="B66" s="43" t="s">
        <v>1720</v>
      </c>
      <c r="C66" s="28"/>
      <c r="D66" s="28"/>
      <c r="E66" s="28"/>
      <c r="F66" s="28"/>
    </row>
    <row r="67" spans="1:7" ht="15" x14ac:dyDescent="0.25">
      <c r="A67" s="44"/>
      <c r="B67" s="45"/>
      <c r="C67" s="28"/>
      <c r="D67" s="28"/>
      <c r="E67" s="28"/>
      <c r="F67" s="28"/>
    </row>
    <row r="68" spans="1:7" ht="16.5" thickBot="1" x14ac:dyDescent="0.3">
      <c r="A68" s="36" t="s">
        <v>480</v>
      </c>
      <c r="B68" s="1429" t="s">
        <v>481</v>
      </c>
      <c r="C68" s="46"/>
      <c r="D68" s="46"/>
      <c r="G68" s="705" t="str">
        <f>G45</f>
        <v>EUR'000</v>
      </c>
    </row>
    <row r="69" spans="1:7" s="25" customFormat="1" ht="18.75" customHeight="1" x14ac:dyDescent="0.25">
      <c r="A69" s="1481"/>
      <c r="B69" s="1481"/>
      <c r="C69" s="1470" t="s">
        <v>949</v>
      </c>
      <c r="D69" s="1470"/>
      <c r="E69" s="176"/>
      <c r="F69" s="1470" t="str">
        <f>F6</f>
        <v>Mātessabiedrība/Parent Company</v>
      </c>
      <c r="G69" s="1470"/>
    </row>
    <row r="70" spans="1:7" s="23" customFormat="1" ht="15.75" thickBot="1" x14ac:dyDescent="0.3">
      <c r="A70" s="1487"/>
      <c r="B70" s="1487"/>
      <c r="C70" s="824">
        <v>2017</v>
      </c>
      <c r="D70" s="197">
        <v>2016</v>
      </c>
      <c r="E70" s="177"/>
      <c r="F70" s="824">
        <v>2017</v>
      </c>
      <c r="G70" s="197">
        <v>2016</v>
      </c>
    </row>
    <row r="71" spans="1:7" x14ac:dyDescent="0.25">
      <c r="A71" s="39"/>
      <c r="B71" s="39"/>
      <c r="C71" s="1416"/>
      <c r="D71" s="40"/>
      <c r="F71" s="1416"/>
      <c r="G71" s="40"/>
    </row>
    <row r="72" spans="1:7" x14ac:dyDescent="0.25">
      <c r="A72" s="39"/>
      <c r="B72" s="39"/>
      <c r="C72" s="1416"/>
      <c r="D72" s="40"/>
      <c r="F72" s="1416"/>
      <c r="G72" s="100"/>
    </row>
    <row r="73" spans="1:7" x14ac:dyDescent="0.25">
      <c r="A73" s="429" t="s">
        <v>93</v>
      </c>
      <c r="B73" s="1430" t="s">
        <v>262</v>
      </c>
      <c r="C73" s="867">
        <v>16</v>
      </c>
      <c r="D73" s="229">
        <v>45</v>
      </c>
      <c r="F73" s="959">
        <v>17</v>
      </c>
      <c r="G73" s="314">
        <v>40</v>
      </c>
    </row>
    <row r="74" spans="1:7" x14ac:dyDescent="0.2">
      <c r="A74" s="112" t="s">
        <v>1682</v>
      </c>
      <c r="B74" s="430" t="s">
        <v>1441</v>
      </c>
      <c r="C74" s="854" t="s">
        <v>572</v>
      </c>
      <c r="D74" s="229" t="s">
        <v>572</v>
      </c>
      <c r="F74" s="959">
        <v>10189</v>
      </c>
      <c r="G74" s="314">
        <v>10635</v>
      </c>
    </row>
    <row r="75" spans="1:7" ht="22.5" x14ac:dyDescent="0.2">
      <c r="A75" s="1431" t="s">
        <v>94</v>
      </c>
      <c r="B75" s="432" t="s">
        <v>671</v>
      </c>
      <c r="C75" s="854">
        <v>1085</v>
      </c>
      <c r="D75" s="187">
        <v>1414</v>
      </c>
      <c r="F75" s="854">
        <v>1085</v>
      </c>
      <c r="G75" s="187">
        <v>1414</v>
      </c>
    </row>
    <row r="76" spans="1:7" ht="22.5" x14ac:dyDescent="0.2">
      <c r="A76" s="433" t="s">
        <v>672</v>
      </c>
      <c r="B76" s="431" t="s">
        <v>407</v>
      </c>
      <c r="C76" s="854" t="s">
        <v>572</v>
      </c>
      <c r="D76" s="187">
        <v>760</v>
      </c>
      <c r="F76" s="854" t="s">
        <v>572</v>
      </c>
      <c r="G76" s="187">
        <v>760</v>
      </c>
    </row>
    <row r="77" spans="1:7" ht="22.5" x14ac:dyDescent="0.2">
      <c r="A77" s="433" t="s">
        <v>380</v>
      </c>
      <c r="B77" s="432" t="s">
        <v>381</v>
      </c>
      <c r="C77" s="956">
        <v>120</v>
      </c>
      <c r="D77" s="302">
        <v>83</v>
      </c>
      <c r="F77" s="956">
        <v>120</v>
      </c>
      <c r="G77" s="302">
        <v>83</v>
      </c>
    </row>
    <row r="78" spans="1:7" ht="12" thickBot="1" x14ac:dyDescent="0.3">
      <c r="A78" s="962" t="s">
        <v>95</v>
      </c>
      <c r="B78" s="963" t="s">
        <v>263</v>
      </c>
      <c r="C78" s="898">
        <v>22</v>
      </c>
      <c r="D78" s="338">
        <v>26</v>
      </c>
      <c r="E78" s="411"/>
      <c r="F78" s="898">
        <v>22</v>
      </c>
      <c r="G78" s="338">
        <v>26</v>
      </c>
    </row>
    <row r="79" spans="1:7" ht="12" thickBot="1" x14ac:dyDescent="0.3">
      <c r="A79" s="969" t="s">
        <v>96</v>
      </c>
      <c r="B79" s="969" t="s">
        <v>382</v>
      </c>
      <c r="C79" s="884">
        <f>SUM(C73:C78)</f>
        <v>1243</v>
      </c>
      <c r="D79" s="272">
        <f>SUM(D73:D78)</f>
        <v>2328</v>
      </c>
      <c r="E79" s="411"/>
      <c r="F79" s="884">
        <f>SUM(F73:F78)</f>
        <v>11433</v>
      </c>
      <c r="G79" s="272">
        <f>SUM(G73:G78)</f>
        <v>12958</v>
      </c>
    </row>
    <row r="80" spans="1:7" x14ac:dyDescent="0.25">
      <c r="A80" s="436"/>
      <c r="B80" s="436"/>
      <c r="C80" s="437"/>
      <c r="D80" s="437"/>
      <c r="E80" s="411"/>
    </row>
    <row r="81" spans="1:7" ht="16.5" thickBot="1" x14ac:dyDescent="0.3">
      <c r="A81" s="1432" t="s">
        <v>482</v>
      </c>
      <c r="B81" s="1433" t="s">
        <v>483</v>
      </c>
      <c r="C81" s="437"/>
      <c r="D81" s="437"/>
      <c r="G81" s="705" t="str">
        <f>G68</f>
        <v>EUR'000</v>
      </c>
    </row>
    <row r="82" spans="1:7" s="25" customFormat="1" ht="18.75" customHeight="1" x14ac:dyDescent="0.25">
      <c r="A82" s="1481"/>
      <c r="B82" s="1481"/>
      <c r="C82" s="1470" t="s">
        <v>949</v>
      </c>
      <c r="D82" s="1470"/>
      <c r="E82" s="176"/>
      <c r="F82" s="1470" t="str">
        <f>F6</f>
        <v>Mātessabiedrība/Parent Company</v>
      </c>
      <c r="G82" s="1470"/>
    </row>
    <row r="83" spans="1:7" s="23" customFormat="1" ht="15.75" thickBot="1" x14ac:dyDescent="0.3">
      <c r="A83" s="1487"/>
      <c r="B83" s="1487"/>
      <c r="C83" s="824">
        <v>2017</v>
      </c>
      <c r="D83" s="197">
        <v>2016</v>
      </c>
      <c r="E83" s="177"/>
      <c r="F83" s="824">
        <v>2017</v>
      </c>
      <c r="G83" s="197">
        <v>2016</v>
      </c>
    </row>
    <row r="84" spans="1:7" x14ac:dyDescent="0.25">
      <c r="A84" s="438"/>
      <c r="B84" s="438"/>
      <c r="C84" s="1416"/>
      <c r="D84" s="100"/>
      <c r="F84" s="1416"/>
      <c r="G84" s="100"/>
    </row>
    <row r="85" spans="1:7" x14ac:dyDescent="0.25">
      <c r="A85" s="438"/>
      <c r="B85" s="438"/>
      <c r="C85" s="1416"/>
      <c r="D85" s="100"/>
      <c r="F85" s="1416"/>
      <c r="G85" s="100"/>
    </row>
    <row r="86" spans="1:7" x14ac:dyDescent="0.25">
      <c r="A86" s="429" t="s">
        <v>790</v>
      </c>
      <c r="B86" s="430" t="s">
        <v>264</v>
      </c>
      <c r="C86" s="867">
        <v>3883</v>
      </c>
      <c r="D86" s="229">
        <v>5185</v>
      </c>
      <c r="F86" s="867">
        <v>4744</v>
      </c>
      <c r="G86" s="229">
        <v>5819</v>
      </c>
    </row>
    <row r="87" spans="1:7" ht="22.5" x14ac:dyDescent="0.25">
      <c r="A87" s="433" t="s">
        <v>386</v>
      </c>
      <c r="B87" s="439" t="s">
        <v>385</v>
      </c>
      <c r="C87" s="867">
        <v>4753</v>
      </c>
      <c r="D87" s="229">
        <v>4701</v>
      </c>
      <c r="F87" s="867">
        <v>4753</v>
      </c>
      <c r="G87" s="229">
        <v>4701</v>
      </c>
    </row>
    <row r="88" spans="1:7" x14ac:dyDescent="0.25">
      <c r="A88" s="433" t="s">
        <v>98</v>
      </c>
      <c r="B88" s="439" t="s">
        <v>265</v>
      </c>
      <c r="C88" s="867">
        <v>3760</v>
      </c>
      <c r="D88" s="229">
        <v>4922</v>
      </c>
      <c r="F88" s="867">
        <v>3760</v>
      </c>
      <c r="G88" s="229">
        <v>4922</v>
      </c>
    </row>
    <row r="89" spans="1:7" ht="22.5" x14ac:dyDescent="0.2">
      <c r="A89" s="433" t="s">
        <v>379</v>
      </c>
      <c r="B89" s="432" t="s">
        <v>670</v>
      </c>
      <c r="C89" s="854">
        <v>50</v>
      </c>
      <c r="D89" s="187">
        <v>58</v>
      </c>
      <c r="F89" s="854">
        <v>50</v>
      </c>
      <c r="G89" s="1434">
        <v>58</v>
      </c>
    </row>
    <row r="90" spans="1:7" ht="22.5" hidden="1" x14ac:dyDescent="0.2">
      <c r="A90" s="433" t="s">
        <v>528</v>
      </c>
      <c r="B90" s="432" t="s">
        <v>529</v>
      </c>
      <c r="C90" s="854" t="s">
        <v>572</v>
      </c>
      <c r="D90" s="187" t="s">
        <v>572</v>
      </c>
      <c r="F90" s="960" t="s">
        <v>572</v>
      </c>
      <c r="G90" s="1434" t="s">
        <v>572</v>
      </c>
    </row>
    <row r="91" spans="1:7" x14ac:dyDescent="0.25">
      <c r="A91" s="433" t="s">
        <v>875</v>
      </c>
      <c r="B91" s="439" t="s">
        <v>874</v>
      </c>
      <c r="C91" s="839">
        <v>-1359</v>
      </c>
      <c r="D91" s="184">
        <v>-780</v>
      </c>
      <c r="F91" s="839">
        <v>-1359</v>
      </c>
      <c r="G91" s="116">
        <v>-780</v>
      </c>
    </row>
    <row r="92" spans="1:7" hidden="1" x14ac:dyDescent="0.2">
      <c r="A92" s="434" t="s">
        <v>530</v>
      </c>
      <c r="B92" s="435" t="s">
        <v>531</v>
      </c>
      <c r="C92" s="854" t="s">
        <v>572</v>
      </c>
      <c r="D92" s="187" t="s">
        <v>572</v>
      </c>
      <c r="F92" s="960" t="s">
        <v>572</v>
      </c>
      <c r="G92" s="1434" t="s">
        <v>572</v>
      </c>
    </row>
    <row r="93" spans="1:7" ht="12" thickBot="1" x14ac:dyDescent="0.25">
      <c r="A93" s="1417" t="s">
        <v>99</v>
      </c>
      <c r="B93" s="961" t="s">
        <v>266</v>
      </c>
      <c r="C93" s="868">
        <v>124</v>
      </c>
      <c r="D93" s="219">
        <v>70</v>
      </c>
      <c r="F93" s="868">
        <v>106</v>
      </c>
      <c r="G93" s="1435">
        <v>52</v>
      </c>
    </row>
    <row r="94" spans="1:7" ht="12" thickBot="1" x14ac:dyDescent="0.3">
      <c r="A94" s="968" t="s">
        <v>100</v>
      </c>
      <c r="B94" s="969" t="s">
        <v>383</v>
      </c>
      <c r="C94" s="884">
        <f>SUM(C86:C93)</f>
        <v>11211</v>
      </c>
      <c r="D94" s="272">
        <v>14156</v>
      </c>
      <c r="F94" s="884">
        <f>SUM(F86:F93)</f>
        <v>12054</v>
      </c>
      <c r="G94" s="1128">
        <f>SUM(G86:G93)</f>
        <v>14772</v>
      </c>
    </row>
    <row r="95" spans="1:7" x14ac:dyDescent="0.25">
      <c r="A95" s="440"/>
      <c r="B95" s="440"/>
      <c r="C95" s="440"/>
      <c r="D95" s="440"/>
    </row>
    <row r="96" spans="1:7" x14ac:dyDescent="0.25">
      <c r="A96" s="411"/>
      <c r="B96" s="411"/>
      <c r="C96" s="411"/>
      <c r="D96" s="411"/>
    </row>
    <row r="97" spans="1:4" x14ac:dyDescent="0.25">
      <c r="A97" s="411"/>
      <c r="B97" s="411"/>
      <c r="C97" s="411"/>
      <c r="D97" s="411"/>
    </row>
    <row r="98" spans="1:4" x14ac:dyDescent="0.25">
      <c r="A98" s="411"/>
      <c r="B98" s="411"/>
      <c r="C98" s="411"/>
      <c r="D98" s="411"/>
    </row>
    <row r="99" spans="1:4" x14ac:dyDescent="0.25">
      <c r="A99" s="411"/>
      <c r="B99" s="411"/>
      <c r="C99" s="411"/>
      <c r="D99" s="411"/>
    </row>
    <row r="100" spans="1:4" x14ac:dyDescent="0.25">
      <c r="A100" s="411"/>
      <c r="B100" s="411"/>
      <c r="C100" s="411"/>
      <c r="D100" s="411"/>
    </row>
    <row r="101" spans="1:4" x14ac:dyDescent="0.25">
      <c r="A101" s="411"/>
      <c r="B101" s="411"/>
      <c r="C101" s="411"/>
      <c r="D101" s="411"/>
    </row>
    <row r="102" spans="1:4" x14ac:dyDescent="0.25">
      <c r="A102" s="411"/>
      <c r="B102" s="411"/>
      <c r="C102" s="411"/>
      <c r="D102" s="411"/>
    </row>
  </sheetData>
  <sheetProtection algorithmName="SHA-512" hashValue="fjdHOT+P45Zzrr4ObKu+ltFaZdgsHDmTR/wvc9Fxk7ge4cuAiOGlJUt+5lCKM8K0v1cfmHQhWSXJ/vkbcduBfQ==" saltValue="0u1MEJogh2aocwfUwdy2Hg==" spinCount="100000" sheet="1" objects="1" scenarios="1"/>
  <mergeCells count="24">
    <mergeCell ref="A6:A7"/>
    <mergeCell ref="B6:B7"/>
    <mergeCell ref="C6:D6"/>
    <mergeCell ref="F6:G6"/>
    <mergeCell ref="A19:A20"/>
    <mergeCell ref="B19:B20"/>
    <mergeCell ref="C19:D19"/>
    <mergeCell ref="F19:G19"/>
    <mergeCell ref="A40:A41"/>
    <mergeCell ref="B40:B41"/>
    <mergeCell ref="C40:D40"/>
    <mergeCell ref="F40:G40"/>
    <mergeCell ref="A46:A47"/>
    <mergeCell ref="B46:B47"/>
    <mergeCell ref="C46:D46"/>
    <mergeCell ref="F46:G46"/>
    <mergeCell ref="A69:A70"/>
    <mergeCell ref="B69:B70"/>
    <mergeCell ref="C69:D69"/>
    <mergeCell ref="F69:G69"/>
    <mergeCell ref="A82:A83"/>
    <mergeCell ref="B82:B83"/>
    <mergeCell ref="C82:D82"/>
    <mergeCell ref="F82:G82"/>
  </mergeCells>
  <pageMargins left="0" right="0" top="0.55118110236220474" bottom="0.74803149606299213" header="0.31496062992125984" footer="0.31496062992125984"/>
  <pageSetup paperSize="9" scale="90" orientation="landscape" r:id="rId1"/>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9"/>
  <sheetViews>
    <sheetView showGridLines="0" workbookViewId="0">
      <pane ySplit="2" topLeftCell="A3" activePane="bottomLeft" state="frozen"/>
      <selection pane="bottomLeft" activeCell="A3" sqref="A3"/>
    </sheetView>
  </sheetViews>
  <sheetFormatPr defaultColWidth="9.140625" defaultRowHeight="15" outlineLevelCol="1" x14ac:dyDescent="0.25"/>
  <cols>
    <col min="1" max="1" width="46.7109375" style="50" customWidth="1"/>
    <col min="2" max="2" width="48.85546875" style="50" customWidth="1" outlineLevel="1"/>
    <col min="3" max="3" width="14.140625" style="50" customWidth="1" outlineLevel="1"/>
    <col min="4" max="4" width="13.28515625" style="50" customWidth="1" outlineLevel="1"/>
    <col min="5" max="5" width="2.28515625" style="50" customWidth="1"/>
    <col min="6" max="6" width="11.7109375" style="50" customWidth="1"/>
    <col min="7" max="7" width="13.42578125" style="50" customWidth="1"/>
    <col min="8" max="8" width="3.28515625" style="50" customWidth="1"/>
    <col min="9" max="9" width="9.85546875" style="50" bestFit="1" customWidth="1"/>
    <col min="10" max="10" width="9.140625" style="50"/>
    <col min="11" max="11" width="2.140625" style="50" customWidth="1"/>
    <col min="12" max="13" width="11.28515625" style="50" customWidth="1"/>
    <col min="14" max="16384" width="9.140625" style="50"/>
  </cols>
  <sheetData>
    <row r="1" spans="1:7" x14ac:dyDescent="0.25">
      <c r="A1" s="60" t="s">
        <v>1727</v>
      </c>
      <c r="B1" s="60" t="s">
        <v>1728</v>
      </c>
      <c r="C1" s="60"/>
    </row>
    <row r="2" spans="1:7" x14ac:dyDescent="0.25">
      <c r="A2" s="60" t="s">
        <v>970</v>
      </c>
      <c r="B2" s="60" t="s">
        <v>969</v>
      </c>
      <c r="C2" s="35"/>
      <c r="D2" s="35"/>
      <c r="E2" s="35"/>
    </row>
    <row r="3" spans="1:7" s="61" customFormat="1" ht="31.5" x14ac:dyDescent="0.25">
      <c r="A3" s="746" t="s">
        <v>1195</v>
      </c>
      <c r="B3" s="1465" t="s">
        <v>1723</v>
      </c>
      <c r="C3" s="36"/>
    </row>
    <row r="4" spans="1:7" s="35" customFormat="1" ht="12.75" thickBot="1" x14ac:dyDescent="0.3">
      <c r="A4" s="47"/>
      <c r="B4" s="47"/>
      <c r="C4" s="47"/>
      <c r="E4" s="22"/>
      <c r="G4" s="705" t="s">
        <v>51</v>
      </c>
    </row>
    <row r="5" spans="1:7" s="25" customFormat="1" ht="18.75" customHeight="1" x14ac:dyDescent="0.25">
      <c r="A5" s="1481"/>
      <c r="B5" s="1481"/>
      <c r="C5" s="1516" t="s">
        <v>949</v>
      </c>
      <c r="D5" s="1516"/>
      <c r="E5" s="71"/>
      <c r="F5" s="1516" t="s">
        <v>1672</v>
      </c>
      <c r="G5" s="1516"/>
    </row>
    <row r="6" spans="1:7" s="23" customFormat="1" ht="15.75" thickBot="1" x14ac:dyDescent="0.3">
      <c r="A6" s="1482"/>
      <c r="B6" s="1482"/>
      <c r="C6" s="824">
        <v>2017</v>
      </c>
      <c r="D6" s="197">
        <v>2016</v>
      </c>
      <c r="E6" s="177"/>
      <c r="F6" s="824">
        <v>2017</v>
      </c>
      <c r="G6" s="197">
        <v>2016</v>
      </c>
    </row>
    <row r="7" spans="1:7" s="35" customFormat="1" ht="11.25" x14ac:dyDescent="0.25">
      <c r="A7" s="39"/>
      <c r="B7" s="39"/>
      <c r="C7" s="1267"/>
      <c r="D7" s="40"/>
      <c r="F7" s="1267"/>
      <c r="G7" s="40"/>
    </row>
    <row r="8" spans="1:7" s="35" customFormat="1" ht="11.25" x14ac:dyDescent="0.25">
      <c r="A8" s="39"/>
      <c r="B8" s="39"/>
      <c r="C8" s="1267"/>
      <c r="D8" s="40"/>
      <c r="F8" s="1267"/>
      <c r="G8" s="40"/>
    </row>
    <row r="9" spans="1:7" s="35" customFormat="1" ht="11.25" x14ac:dyDescent="0.25">
      <c r="A9" s="150" t="s">
        <v>10</v>
      </c>
      <c r="B9" s="150" t="s">
        <v>1193</v>
      </c>
      <c r="C9" s="867">
        <v>51199</v>
      </c>
      <c r="D9" s="229">
        <v>23498</v>
      </c>
      <c r="F9" s="867">
        <v>45097</v>
      </c>
      <c r="G9" s="229">
        <v>20331</v>
      </c>
    </row>
    <row r="10" spans="1:7" s="35" customFormat="1" ht="22.5" x14ac:dyDescent="0.2">
      <c r="A10" s="420" t="s">
        <v>1192</v>
      </c>
      <c r="B10" s="389" t="s">
        <v>1194</v>
      </c>
      <c r="C10" s="955">
        <v>-20083</v>
      </c>
      <c r="D10" s="418">
        <v>-5146</v>
      </c>
      <c r="E10" s="747"/>
      <c r="F10" s="955">
        <v>-20187</v>
      </c>
      <c r="G10" s="418">
        <v>-1482</v>
      </c>
    </row>
    <row r="11" spans="1:7" s="35" customFormat="1" ht="12" thickBot="1" x14ac:dyDescent="0.3">
      <c r="A11" s="423" t="s">
        <v>1191</v>
      </c>
      <c r="B11" s="423" t="s">
        <v>1196</v>
      </c>
      <c r="C11" s="857">
        <v>-129023</v>
      </c>
      <c r="D11" s="397" t="s">
        <v>625</v>
      </c>
      <c r="F11" s="857">
        <v>10105</v>
      </c>
      <c r="G11" s="397" t="s">
        <v>625</v>
      </c>
    </row>
    <row r="12" spans="1:7" s="35" customFormat="1" ht="12" thickBot="1" x14ac:dyDescent="0.3">
      <c r="A12" s="673" t="s">
        <v>101</v>
      </c>
      <c r="B12" s="673" t="s">
        <v>669</v>
      </c>
      <c r="C12" s="994">
        <f>SUM(C9:C11)</f>
        <v>-97907</v>
      </c>
      <c r="D12" s="272">
        <f>SUM(D9:D11)</f>
        <v>18352</v>
      </c>
      <c r="F12" s="884">
        <f t="shared" ref="F12:G12" si="0">SUM(F9:F11)</f>
        <v>35015</v>
      </c>
      <c r="G12" s="272">
        <f t="shared" si="0"/>
        <v>18849</v>
      </c>
    </row>
    <row r="13" spans="1:7" s="35" customFormat="1" ht="11.25" x14ac:dyDescent="0.25">
      <c r="A13" s="440"/>
      <c r="B13" s="440"/>
      <c r="C13" s="437"/>
      <c r="D13" s="437"/>
    </row>
    <row r="14" spans="1:7" customFormat="1" ht="15.75" thickBot="1" x14ac:dyDescent="0.3">
      <c r="A14" s="750" t="s">
        <v>1197</v>
      </c>
      <c r="B14" s="750" t="s">
        <v>1198</v>
      </c>
      <c r="D14" s="748"/>
      <c r="G14" s="705" t="str">
        <f>G4</f>
        <v>EUR'000</v>
      </c>
    </row>
    <row r="15" spans="1:7" s="25" customFormat="1" ht="18.75" customHeight="1" x14ac:dyDescent="0.25">
      <c r="A15" s="1481"/>
      <c r="B15" s="1481"/>
      <c r="C15" s="1516" t="str">
        <f>C5</f>
        <v>Koncerns/Group</v>
      </c>
      <c r="D15" s="1516"/>
      <c r="E15" s="176"/>
      <c r="F15" s="1516" t="str">
        <f>F5</f>
        <v>Mātessabiedrība /Parent Company</v>
      </c>
      <c r="G15" s="1516"/>
    </row>
    <row r="16" spans="1:7" s="23" customFormat="1" ht="15.75" thickBot="1" x14ac:dyDescent="0.3">
      <c r="A16" s="1482"/>
      <c r="B16" s="1482"/>
      <c r="C16" s="824">
        <f>C6</f>
        <v>2017</v>
      </c>
      <c r="D16" s="197">
        <f>D6</f>
        <v>2016</v>
      </c>
      <c r="E16" s="177"/>
      <c r="F16" s="824">
        <f>F6</f>
        <v>2017</v>
      </c>
      <c r="G16" s="197">
        <f>G6</f>
        <v>2016</v>
      </c>
    </row>
    <row r="17" spans="1:13" s="35" customFormat="1" ht="11.25" x14ac:dyDescent="0.25">
      <c r="A17" s="39"/>
      <c r="B17" s="39"/>
      <c r="C17" s="1267"/>
      <c r="D17" s="40"/>
      <c r="F17" s="1267"/>
      <c r="G17" s="40"/>
    </row>
    <row r="18" spans="1:13" s="35" customFormat="1" ht="11.25" x14ac:dyDescent="0.25">
      <c r="A18" s="39"/>
      <c r="B18" s="39"/>
      <c r="C18" s="1267"/>
      <c r="D18" s="40"/>
      <c r="F18" s="1267"/>
      <c r="G18" s="40"/>
    </row>
    <row r="19" spans="1:13" s="35" customFormat="1" ht="11.25" x14ac:dyDescent="0.25">
      <c r="A19" s="1263" t="s">
        <v>1199</v>
      </c>
      <c r="B19" s="1263" t="s">
        <v>1200</v>
      </c>
      <c r="C19" s="976">
        <f>D27</f>
        <v>315759</v>
      </c>
      <c r="D19" s="404">
        <v>273987</v>
      </c>
      <c r="E19" s="749"/>
      <c r="F19" s="976">
        <f>G27</f>
        <v>126260</v>
      </c>
      <c r="G19" s="404">
        <v>127899</v>
      </c>
    </row>
    <row r="20" spans="1:13" s="35" customFormat="1" ht="22.5" x14ac:dyDescent="0.2">
      <c r="A20" s="420" t="s">
        <v>877</v>
      </c>
      <c r="B20" s="389" t="s">
        <v>876</v>
      </c>
      <c r="C20" s="955" t="s">
        <v>625</v>
      </c>
      <c r="D20" s="418">
        <v>-638</v>
      </c>
      <c r="E20" s="747"/>
      <c r="F20" s="955" t="s">
        <v>625</v>
      </c>
      <c r="G20" s="418">
        <v>-157</v>
      </c>
    </row>
    <row r="21" spans="1:13" s="35" customFormat="1" ht="22.5" x14ac:dyDescent="0.2">
      <c r="A21" s="763" t="s">
        <v>667</v>
      </c>
      <c r="B21" s="423" t="s">
        <v>668</v>
      </c>
      <c r="C21" s="955">
        <v>3325</v>
      </c>
      <c r="D21" s="418">
        <v>47556</v>
      </c>
      <c r="E21" s="747"/>
      <c r="F21" s="955">
        <v>3325</v>
      </c>
      <c r="G21" s="418" t="s">
        <v>625</v>
      </c>
    </row>
    <row r="22" spans="1:13" s="35" customFormat="1" ht="12" thickBot="1" x14ac:dyDescent="0.3">
      <c r="A22" s="423" t="s">
        <v>1244</v>
      </c>
      <c r="B22" s="423" t="s">
        <v>1245</v>
      </c>
      <c r="C22" s="857">
        <v>-20083</v>
      </c>
      <c r="D22" s="397">
        <v>-5146</v>
      </c>
      <c r="F22" s="857">
        <v>-20187</v>
      </c>
      <c r="G22" s="397">
        <v>-1482</v>
      </c>
    </row>
    <row r="23" spans="1:13" s="35" customFormat="1" ht="22.5" x14ac:dyDescent="0.2">
      <c r="A23" s="823" t="s">
        <v>1201</v>
      </c>
      <c r="B23" s="973" t="s">
        <v>1202</v>
      </c>
      <c r="C23" s="971">
        <f t="shared" ref="C23:D23" si="1">SUM(C19:C22)</f>
        <v>299001</v>
      </c>
      <c r="D23" s="972">
        <f t="shared" si="1"/>
        <v>315759</v>
      </c>
      <c r="E23" s="747"/>
      <c r="F23" s="971">
        <f>SUM(F19:F22)</f>
        <v>109398</v>
      </c>
      <c r="G23" s="972">
        <f>SUM(G19:G22)</f>
        <v>126260</v>
      </c>
    </row>
    <row r="24" spans="1:13" s="35" customFormat="1" ht="11.25" x14ac:dyDescent="0.25">
      <c r="A24" s="440"/>
      <c r="B24" s="440"/>
      <c r="C24" s="977"/>
      <c r="D24" s="437"/>
      <c r="F24" s="935"/>
    </row>
    <row r="25" spans="1:13" s="35" customFormat="1" ht="11.25" x14ac:dyDescent="0.2">
      <c r="A25" s="419" t="s">
        <v>1451</v>
      </c>
      <c r="B25" s="292" t="s">
        <v>1450</v>
      </c>
      <c r="C25" s="955">
        <v>-169978</v>
      </c>
      <c r="D25" s="418" t="s">
        <v>625</v>
      </c>
      <c r="E25" s="747"/>
      <c r="F25" s="955">
        <v>-119503</v>
      </c>
      <c r="G25" s="418" t="s">
        <v>625</v>
      </c>
    </row>
    <row r="26" spans="1:13" s="35" customFormat="1" ht="12" thickBot="1" x14ac:dyDescent="0.3">
      <c r="A26" s="423" t="s">
        <v>1203</v>
      </c>
      <c r="B26" s="423" t="s">
        <v>1204</v>
      </c>
      <c r="C26" s="857">
        <v>-129023</v>
      </c>
      <c r="D26" s="397" t="s">
        <v>625</v>
      </c>
      <c r="F26" s="857">
        <v>10105</v>
      </c>
      <c r="G26" s="397" t="s">
        <v>625</v>
      </c>
    </row>
    <row r="27" spans="1:13" s="35" customFormat="1" ht="12" thickBot="1" x14ac:dyDescent="0.3">
      <c r="A27" s="673" t="s">
        <v>104</v>
      </c>
      <c r="B27" s="673" t="s">
        <v>285</v>
      </c>
      <c r="C27" s="994" t="s">
        <v>625</v>
      </c>
      <c r="D27" s="272">
        <f>SUM(D23,D25,D26)</f>
        <v>315759</v>
      </c>
      <c r="F27" s="884" t="s">
        <v>625</v>
      </c>
      <c r="G27" s="272">
        <f>SUM(G23,G25,G26)</f>
        <v>126260</v>
      </c>
    </row>
    <row r="28" spans="1:13" s="35" customFormat="1" ht="11.25" x14ac:dyDescent="0.25">
      <c r="A28" s="440"/>
      <c r="B28" s="440"/>
      <c r="C28" s="437"/>
      <c r="D28" s="437"/>
    </row>
    <row r="29" spans="1:13" customFormat="1" ht="41.25" customHeight="1" thickBot="1" x14ac:dyDescent="0.3">
      <c r="A29" s="751" t="s">
        <v>1438</v>
      </c>
      <c r="B29" s="751" t="s">
        <v>1234</v>
      </c>
      <c r="M29" s="707" t="s">
        <v>51</v>
      </c>
    </row>
    <row r="30" spans="1:13" s="25" customFormat="1" ht="26.25" customHeight="1" x14ac:dyDescent="0.25">
      <c r="A30" s="766"/>
      <c r="B30" s="766"/>
      <c r="C30" s="1481" t="s">
        <v>1232</v>
      </c>
      <c r="D30" s="1481"/>
      <c r="E30" s="1481"/>
      <c r="F30" s="1481"/>
      <c r="G30" s="1481"/>
      <c r="H30" s="760"/>
      <c r="I30" s="1481" t="s">
        <v>1233</v>
      </c>
      <c r="J30" s="1481"/>
      <c r="K30" s="1481"/>
      <c r="L30" s="1481"/>
      <c r="M30" s="1481"/>
    </row>
    <row r="31" spans="1:13" s="23" customFormat="1" ht="20.45" customHeight="1" thickBot="1" x14ac:dyDescent="0.3">
      <c r="A31" s="757"/>
      <c r="B31" s="757"/>
      <c r="C31" s="1517" t="s">
        <v>949</v>
      </c>
      <c r="D31" s="1517"/>
      <c r="E31" s="71"/>
      <c r="F31" s="1517" t="str">
        <f>F5</f>
        <v>Mātessabiedrība /Parent Company</v>
      </c>
      <c r="G31" s="1517"/>
      <c r="H31" s="26"/>
      <c r="I31" s="1517" t="s">
        <v>949</v>
      </c>
      <c r="J31" s="1517"/>
      <c r="K31" s="26"/>
      <c r="L31" s="1517" t="str">
        <f>F5</f>
        <v>Mātessabiedrība /Parent Company</v>
      </c>
      <c r="M31" s="1517"/>
    </row>
    <row r="32" spans="1:13" customFormat="1" ht="15.75" thickBot="1" x14ac:dyDescent="0.3">
      <c r="A32" s="758"/>
      <c r="B32" s="758"/>
      <c r="C32" s="978">
        <v>43100</v>
      </c>
      <c r="D32" s="761">
        <v>42735</v>
      </c>
      <c r="E32" s="759"/>
      <c r="F32" s="978">
        <v>43100</v>
      </c>
      <c r="G32" s="761">
        <v>42735</v>
      </c>
      <c r="I32" s="824">
        <f>C6</f>
        <v>2017</v>
      </c>
      <c r="J32" s="197">
        <f>D6</f>
        <v>2016</v>
      </c>
      <c r="L32" s="824">
        <f>F6</f>
        <v>2017</v>
      </c>
      <c r="M32" s="197">
        <f>G6</f>
        <v>2016</v>
      </c>
    </row>
    <row r="33" spans="1:13" customFormat="1" x14ac:dyDescent="0.25">
      <c r="A33" s="752"/>
      <c r="B33" s="752"/>
      <c r="C33" s="979"/>
      <c r="D33" s="753"/>
      <c r="E33" s="753"/>
      <c r="F33" s="857"/>
      <c r="G33" s="142"/>
      <c r="H33" s="142"/>
      <c r="I33" s="979"/>
      <c r="J33" s="753"/>
      <c r="L33" s="979"/>
    </row>
    <row r="34" spans="1:13" s="35" customFormat="1" ht="11.25" x14ac:dyDescent="0.25">
      <c r="A34" s="1263" t="s">
        <v>39</v>
      </c>
      <c r="B34" s="1263" t="s">
        <v>1205</v>
      </c>
      <c r="C34" s="857"/>
      <c r="D34" s="397"/>
      <c r="F34" s="857"/>
      <c r="G34" s="397"/>
      <c r="I34" s="979"/>
      <c r="J34" s="398"/>
      <c r="K34" s="108"/>
      <c r="L34" s="979"/>
      <c r="M34" s="398"/>
    </row>
    <row r="35" spans="1:13" s="35" customFormat="1" ht="11.25" x14ac:dyDescent="0.25">
      <c r="A35" s="292" t="s">
        <v>1206</v>
      </c>
      <c r="B35" s="292" t="s">
        <v>1207</v>
      </c>
      <c r="C35" s="867">
        <v>133103</v>
      </c>
      <c r="D35" s="229">
        <v>151871</v>
      </c>
      <c r="F35" s="867">
        <v>-8403</v>
      </c>
      <c r="G35" s="229">
        <v>10820</v>
      </c>
      <c r="I35" s="867">
        <v>-18768</v>
      </c>
      <c r="J35" s="229">
        <v>-6947</v>
      </c>
      <c r="L35" s="867">
        <v>-19223</v>
      </c>
      <c r="M35" s="229">
        <v>-2726</v>
      </c>
    </row>
    <row r="36" spans="1:13" s="35" customFormat="1" ht="11.25" x14ac:dyDescent="0.25">
      <c r="A36" s="389" t="s">
        <v>1208</v>
      </c>
      <c r="B36" s="389" t="s">
        <v>1209</v>
      </c>
      <c r="C36" s="839">
        <v>169560</v>
      </c>
      <c r="D36" s="184">
        <v>167007</v>
      </c>
      <c r="F36" s="839">
        <v>119384</v>
      </c>
      <c r="G36" s="184">
        <v>116370</v>
      </c>
      <c r="I36" s="839" t="s">
        <v>625</v>
      </c>
      <c r="J36" s="184" t="s">
        <v>625</v>
      </c>
      <c r="L36" s="839" t="s">
        <v>625</v>
      </c>
      <c r="M36" s="184" t="s">
        <v>625</v>
      </c>
    </row>
    <row r="37" spans="1:13" s="35" customFormat="1" ht="23.25" thickBot="1" x14ac:dyDescent="0.25">
      <c r="A37" s="763" t="s">
        <v>1210</v>
      </c>
      <c r="B37" s="423" t="s">
        <v>1211</v>
      </c>
      <c r="C37" s="868" t="s">
        <v>625</v>
      </c>
      <c r="D37" s="219">
        <v>-354</v>
      </c>
      <c r="E37" s="747"/>
      <c r="F37" s="868">
        <v>-35</v>
      </c>
      <c r="G37" s="219">
        <v>-227</v>
      </c>
      <c r="H37" s="747"/>
      <c r="I37" s="868" t="s">
        <v>625</v>
      </c>
      <c r="J37" s="219" t="s">
        <v>625</v>
      </c>
      <c r="K37" s="747"/>
      <c r="L37" s="868" t="s">
        <v>625</v>
      </c>
      <c r="M37" s="219" t="s">
        <v>625</v>
      </c>
    </row>
    <row r="38" spans="1:13" s="35" customFormat="1" ht="11.25" x14ac:dyDescent="0.25">
      <c r="A38" s="823" t="s">
        <v>1212</v>
      </c>
      <c r="B38" s="823" t="s">
        <v>1213</v>
      </c>
      <c r="C38" s="899">
        <f>SUM(C35:C37)</f>
        <v>302663</v>
      </c>
      <c r="D38" s="258">
        <f t="shared" ref="D38" si="2">SUM(D35:D37)</f>
        <v>318524</v>
      </c>
      <c r="F38" s="899">
        <f t="shared" ref="F38:G38" si="3">SUM(F35:F37)</f>
        <v>110946</v>
      </c>
      <c r="G38" s="258">
        <f t="shared" si="3"/>
        <v>126963</v>
      </c>
      <c r="I38" s="899">
        <f t="shared" ref="I38:J38" si="4">SUM(I35:I37)</f>
        <v>-18768</v>
      </c>
      <c r="J38" s="341">
        <f t="shared" si="4"/>
        <v>-6947</v>
      </c>
      <c r="L38" s="899">
        <f t="shared" ref="L38:M38" si="5">SUM(L35:L37)</f>
        <v>-19223</v>
      </c>
      <c r="M38" s="341">
        <f t="shared" si="5"/>
        <v>-2726</v>
      </c>
    </row>
    <row r="39" spans="1:13" customFormat="1" x14ac:dyDescent="0.25">
      <c r="A39" s="1264"/>
      <c r="B39" s="1264"/>
      <c r="C39" s="855"/>
      <c r="D39" s="1269"/>
      <c r="E39" s="1269"/>
      <c r="F39" s="855"/>
      <c r="G39" s="142"/>
      <c r="H39" s="142"/>
      <c r="I39" s="855"/>
      <c r="J39" s="1266"/>
      <c r="L39" s="855"/>
    </row>
    <row r="40" spans="1:13" s="35" customFormat="1" ht="11.25" x14ac:dyDescent="0.25">
      <c r="A40" s="1263" t="s">
        <v>1214</v>
      </c>
      <c r="B40" s="1263" t="s">
        <v>1215</v>
      </c>
      <c r="C40" s="857"/>
      <c r="D40" s="397"/>
      <c r="F40" s="857"/>
      <c r="G40" s="397"/>
      <c r="I40" s="979"/>
      <c r="J40" s="398"/>
      <c r="K40" s="108"/>
      <c r="L40" s="979"/>
      <c r="M40" s="398"/>
    </row>
    <row r="41" spans="1:13" s="35" customFormat="1" ht="11.25" x14ac:dyDescent="0.25">
      <c r="A41" s="292" t="s">
        <v>1216</v>
      </c>
      <c r="B41" s="292" t="s">
        <v>1217</v>
      </c>
      <c r="C41" s="867" t="s">
        <v>625</v>
      </c>
      <c r="D41" s="229">
        <v>-226</v>
      </c>
      <c r="F41" s="867" t="s">
        <v>625</v>
      </c>
      <c r="G41" s="229" t="s">
        <v>625</v>
      </c>
      <c r="I41" s="867">
        <v>226</v>
      </c>
      <c r="J41" s="229">
        <v>487</v>
      </c>
      <c r="K41" s="749"/>
      <c r="L41" s="867" t="s">
        <v>625</v>
      </c>
      <c r="M41" s="229">
        <v>10</v>
      </c>
    </row>
    <row r="42" spans="1:13" s="35" customFormat="1" ht="11.25" x14ac:dyDescent="0.25">
      <c r="A42" s="389" t="s">
        <v>1218</v>
      </c>
      <c r="B42" s="389" t="s">
        <v>1219</v>
      </c>
      <c r="C42" s="839">
        <v>-3594</v>
      </c>
      <c r="D42" s="184">
        <v>-2552</v>
      </c>
      <c r="F42" s="839">
        <v>-1414</v>
      </c>
      <c r="G42" s="184">
        <v>-959</v>
      </c>
      <c r="I42" s="839">
        <v>-1044</v>
      </c>
      <c r="J42" s="184">
        <v>207</v>
      </c>
      <c r="L42" s="839">
        <v>-456</v>
      </c>
      <c r="M42" s="184">
        <v>153</v>
      </c>
    </row>
    <row r="43" spans="1:13" s="35" customFormat="1" ht="11.25" x14ac:dyDescent="0.25">
      <c r="A43" s="389" t="s">
        <v>1238</v>
      </c>
      <c r="B43" s="389" t="s">
        <v>1239</v>
      </c>
      <c r="C43" s="839">
        <v>78</v>
      </c>
      <c r="D43" s="184">
        <v>594</v>
      </c>
      <c r="F43" s="839">
        <v>78</v>
      </c>
      <c r="G43" s="184">
        <v>594</v>
      </c>
      <c r="I43" s="839">
        <v>-515</v>
      </c>
      <c r="J43" s="184">
        <v>1091</v>
      </c>
      <c r="L43" s="839">
        <v>-515</v>
      </c>
      <c r="M43" s="184">
        <v>1091</v>
      </c>
    </row>
    <row r="44" spans="1:13" s="35" customFormat="1" ht="11.25" x14ac:dyDescent="0.2">
      <c r="A44" s="420" t="s">
        <v>1220</v>
      </c>
      <c r="B44" s="389" t="s">
        <v>1221</v>
      </c>
      <c r="C44" s="839">
        <v>-224</v>
      </c>
      <c r="D44" s="184">
        <v>-249</v>
      </c>
      <c r="F44" s="839">
        <v>-148</v>
      </c>
      <c r="G44" s="184">
        <v>-159</v>
      </c>
      <c r="I44" s="839">
        <v>25</v>
      </c>
      <c r="J44" s="184">
        <v>-7</v>
      </c>
      <c r="L44" s="839">
        <v>11</v>
      </c>
      <c r="M44" s="184">
        <v>-5</v>
      </c>
    </row>
    <row r="45" spans="1:13" s="35" customFormat="1" ht="12" thickBot="1" x14ac:dyDescent="0.25">
      <c r="A45" s="763" t="s">
        <v>1240</v>
      </c>
      <c r="B45" s="423" t="s">
        <v>1241</v>
      </c>
      <c r="C45" s="855">
        <v>-340</v>
      </c>
      <c r="D45" s="201">
        <v>-332</v>
      </c>
      <c r="F45" s="855">
        <v>-183</v>
      </c>
      <c r="G45" s="201">
        <v>-179</v>
      </c>
      <c r="I45" s="855">
        <v>-7</v>
      </c>
      <c r="J45" s="201">
        <v>23</v>
      </c>
      <c r="L45" s="855">
        <v>-4</v>
      </c>
      <c r="M45" s="201">
        <v>-5</v>
      </c>
    </row>
    <row r="46" spans="1:13" s="35" customFormat="1" ht="11.25" x14ac:dyDescent="0.25">
      <c r="A46" s="823" t="s">
        <v>1222</v>
      </c>
      <c r="B46" s="823" t="s">
        <v>1223</v>
      </c>
      <c r="C46" s="899">
        <f>SUM(C41:C45)</f>
        <v>-4080</v>
      </c>
      <c r="D46" s="341">
        <f>SUM(D41:D45)</f>
        <v>-2765</v>
      </c>
      <c r="F46" s="899">
        <f>SUM(F41:F45)</f>
        <v>-1667</v>
      </c>
      <c r="G46" s="341">
        <f>SUM(G41:G45)</f>
        <v>-703</v>
      </c>
      <c r="I46" s="993">
        <f>SUM(I41:I45)</f>
        <v>-1315</v>
      </c>
      <c r="J46" s="341">
        <f>SUM(J41:J45)</f>
        <v>1801</v>
      </c>
      <c r="L46" s="899">
        <f>SUM(L41:L45)</f>
        <v>-964</v>
      </c>
      <c r="M46" s="341">
        <f>SUM(M41:M45)</f>
        <v>1244</v>
      </c>
    </row>
    <row r="47" spans="1:13" s="35" customFormat="1" ht="22.5" x14ac:dyDescent="0.2">
      <c r="A47" s="421" t="s">
        <v>1224</v>
      </c>
      <c r="B47" s="424" t="s">
        <v>1225</v>
      </c>
      <c r="C47" s="981">
        <f t="shared" ref="C47" si="6">SUM(C38,C46)</f>
        <v>298583</v>
      </c>
      <c r="D47" s="296">
        <f>SUM(D38,D46)</f>
        <v>315759</v>
      </c>
      <c r="E47" s="747"/>
      <c r="F47" s="981">
        <f t="shared" ref="F47" si="7">SUM(F38,F46)</f>
        <v>109279</v>
      </c>
      <c r="G47" s="296">
        <f>SUM(G38,G46)</f>
        <v>126260</v>
      </c>
      <c r="H47" s="747"/>
      <c r="I47" s="982" t="s">
        <v>625</v>
      </c>
      <c r="J47" s="296" t="s">
        <v>625</v>
      </c>
      <c r="K47" s="747"/>
      <c r="L47" s="982"/>
      <c r="M47" s="296"/>
    </row>
    <row r="48" spans="1:13" s="35" customFormat="1" ht="22.5" x14ac:dyDescent="0.2">
      <c r="A48" s="421" t="s">
        <v>1242</v>
      </c>
      <c r="B48" s="424" t="s">
        <v>1243</v>
      </c>
      <c r="C48" s="981" t="s">
        <v>625</v>
      </c>
      <c r="D48" s="296" t="s">
        <v>625</v>
      </c>
      <c r="E48" s="747"/>
      <c r="F48" s="982" t="s">
        <v>625</v>
      </c>
      <c r="G48" s="296" t="s">
        <v>625</v>
      </c>
      <c r="H48" s="747"/>
      <c r="I48" s="982">
        <f>SUM(I38,I46)</f>
        <v>-20083</v>
      </c>
      <c r="J48" s="280">
        <f>SUM(J38,J46)</f>
        <v>-5146</v>
      </c>
      <c r="K48" s="747"/>
      <c r="L48" s="982">
        <f>SUM(L38,L46)</f>
        <v>-20187</v>
      </c>
      <c r="M48" s="280">
        <f>SUM(M38,M46)</f>
        <v>-1482</v>
      </c>
    </row>
    <row r="49" spans="1:13" customFormat="1" ht="9.75" customHeight="1" x14ac:dyDescent="0.25">
      <c r="A49" s="1266"/>
      <c r="B49" s="1266"/>
      <c r="C49" s="855"/>
      <c r="D49" s="754"/>
      <c r="E49" s="754"/>
      <c r="F49" s="855"/>
      <c r="G49" s="142"/>
      <c r="H49" s="142"/>
      <c r="I49" s="855"/>
      <c r="J49" s="754"/>
      <c r="L49" s="855"/>
    </row>
    <row r="50" spans="1:13" s="35" customFormat="1" ht="11.25" x14ac:dyDescent="0.25">
      <c r="A50" s="1263" t="s">
        <v>1226</v>
      </c>
      <c r="B50" s="1263" t="s">
        <v>1235</v>
      </c>
      <c r="C50" s="857"/>
      <c r="D50" s="397"/>
      <c r="F50" s="857"/>
      <c r="G50" s="397"/>
      <c r="I50" s="979"/>
      <c r="J50" s="398"/>
      <c r="K50" s="108"/>
      <c r="L50" s="979"/>
      <c r="M50" s="398"/>
    </row>
    <row r="51" spans="1:13" s="35" customFormat="1" ht="11.25" x14ac:dyDescent="0.25">
      <c r="A51" s="292" t="s">
        <v>1227</v>
      </c>
      <c r="B51" s="292" t="s">
        <v>1236</v>
      </c>
      <c r="C51" s="867">
        <v>-129023</v>
      </c>
      <c r="D51" s="229" t="s">
        <v>625</v>
      </c>
      <c r="F51" s="867">
        <v>10105</v>
      </c>
      <c r="G51" s="229" t="s">
        <v>625</v>
      </c>
      <c r="I51" s="976">
        <f>C51</f>
        <v>-129023</v>
      </c>
      <c r="J51" s="404" t="s">
        <v>625</v>
      </c>
      <c r="L51" s="976">
        <f>F51</f>
        <v>10105</v>
      </c>
      <c r="M51" s="404" t="s">
        <v>625</v>
      </c>
    </row>
    <row r="52" spans="1:13" s="35" customFormat="1" ht="11.25" x14ac:dyDescent="0.25">
      <c r="A52" s="389" t="s">
        <v>1620</v>
      </c>
      <c r="B52" s="389" t="s">
        <v>1621</v>
      </c>
      <c r="C52" s="839">
        <v>-169560</v>
      </c>
      <c r="D52" s="184" t="s">
        <v>625</v>
      </c>
      <c r="F52" s="839">
        <v>-119384</v>
      </c>
      <c r="G52" s="184" t="s">
        <v>625</v>
      </c>
      <c r="I52" s="839" t="s">
        <v>625</v>
      </c>
      <c r="J52" s="184" t="s">
        <v>625</v>
      </c>
      <c r="L52" s="839" t="s">
        <v>625</v>
      </c>
      <c r="M52" s="184" t="s">
        <v>625</v>
      </c>
    </row>
    <row r="53" spans="1:13" s="35" customFormat="1" ht="11.25" x14ac:dyDescent="0.25">
      <c r="A53" s="421" t="s">
        <v>1228</v>
      </c>
      <c r="B53" s="421" t="s">
        <v>1237</v>
      </c>
      <c r="C53" s="980" t="s">
        <v>625</v>
      </c>
      <c r="D53" s="249" t="s">
        <v>625</v>
      </c>
      <c r="F53" s="983" t="s">
        <v>625</v>
      </c>
      <c r="G53" s="249" t="s">
        <v>625</v>
      </c>
      <c r="I53" s="983" t="s">
        <v>625</v>
      </c>
      <c r="J53" s="249" t="s">
        <v>625</v>
      </c>
      <c r="L53" s="983" t="s">
        <v>625</v>
      </c>
      <c r="M53" s="249" t="s">
        <v>625</v>
      </c>
    </row>
    <row r="54" spans="1:13" s="35" customFormat="1" ht="12" thickBot="1" x14ac:dyDescent="0.3">
      <c r="A54" s="408" t="s">
        <v>1229</v>
      </c>
      <c r="B54" s="408" t="s">
        <v>1230</v>
      </c>
      <c r="C54" s="975" t="s">
        <v>625</v>
      </c>
      <c r="D54" s="410" t="s">
        <v>625</v>
      </c>
      <c r="F54" s="958" t="s">
        <v>625</v>
      </c>
      <c r="G54" s="410" t="s">
        <v>625</v>
      </c>
      <c r="I54" s="984">
        <f>SUM(I48,I51)</f>
        <v>-149106</v>
      </c>
      <c r="J54" s="762">
        <f>SUM(J48,J51)</f>
        <v>-5146</v>
      </c>
      <c r="L54" s="984">
        <f>SUM(L48,L51)</f>
        <v>-10082</v>
      </c>
      <c r="M54" s="762">
        <f>SUM(M48,M51)</f>
        <v>-1482</v>
      </c>
    </row>
    <row r="55" spans="1:13" customFormat="1" ht="56.25" x14ac:dyDescent="0.25">
      <c r="A55" s="683" t="s">
        <v>1231</v>
      </c>
      <c r="B55" s="683" t="s">
        <v>1622</v>
      </c>
      <c r="C55" s="755"/>
      <c r="D55" s="755"/>
      <c r="E55" s="756"/>
      <c r="F55" s="756"/>
      <c r="G55" s="755"/>
      <c r="H55" s="755"/>
      <c r="I55" s="755"/>
    </row>
    <row r="56" spans="1:13" s="35" customFormat="1" ht="11.25" x14ac:dyDescent="0.25">
      <c r="A56" s="440"/>
      <c r="B56" s="440"/>
      <c r="C56" s="437"/>
      <c r="D56" s="437"/>
    </row>
    <row r="57" spans="1:13" s="35" customFormat="1" ht="45.75" thickBot="1" x14ac:dyDescent="0.25">
      <c r="A57" s="440" t="s">
        <v>1437</v>
      </c>
      <c r="B57" s="1281" t="s">
        <v>1623</v>
      </c>
      <c r="C57" s="437"/>
      <c r="D57" s="437"/>
      <c r="G57" s="707" t="s">
        <v>51</v>
      </c>
    </row>
    <row r="58" spans="1:13" s="25" customFormat="1" ht="18.75" customHeight="1" x14ac:dyDescent="0.25">
      <c r="A58" s="1481"/>
      <c r="B58" s="1481"/>
      <c r="C58" s="1516" t="s">
        <v>949</v>
      </c>
      <c r="D58" s="1516"/>
      <c r="E58" s="71"/>
      <c r="F58" s="1516" t="str">
        <f>F5</f>
        <v>Mātessabiedrība /Parent Company</v>
      </c>
      <c r="G58" s="1516"/>
    </row>
    <row r="59" spans="1:13" s="23" customFormat="1" ht="15.75" thickBot="1" x14ac:dyDescent="0.3">
      <c r="A59" s="1482"/>
      <c r="B59" s="1482"/>
      <c r="C59" s="824">
        <v>2017</v>
      </c>
      <c r="D59" s="197">
        <v>2016</v>
      </c>
      <c r="E59" s="177"/>
      <c r="F59" s="824">
        <v>2017</v>
      </c>
      <c r="G59" s="197">
        <v>2016</v>
      </c>
    </row>
    <row r="60" spans="1:13" s="35" customFormat="1" ht="11.25" x14ac:dyDescent="0.25">
      <c r="A60" s="438"/>
      <c r="B60" s="438"/>
      <c r="C60" s="1267"/>
      <c r="D60" s="100"/>
      <c r="F60" s="1267"/>
      <c r="G60" s="100"/>
    </row>
    <row r="61" spans="1:13" s="35" customFormat="1" ht="11.25" x14ac:dyDescent="0.25">
      <c r="A61" s="1263" t="s">
        <v>102</v>
      </c>
      <c r="B61" s="1263" t="s">
        <v>232</v>
      </c>
      <c r="C61" s="976">
        <v>224114</v>
      </c>
      <c r="D61" s="404">
        <v>148945</v>
      </c>
      <c r="F61" s="976">
        <v>185906</v>
      </c>
      <c r="G61" s="404">
        <v>156290</v>
      </c>
    </row>
    <row r="62" spans="1:13" s="35" customFormat="1" ht="11.25" x14ac:dyDescent="0.25">
      <c r="A62" s="389" t="s">
        <v>1249</v>
      </c>
      <c r="B62" s="389" t="s">
        <v>1248</v>
      </c>
      <c r="C62" s="839">
        <f>ROUND(C61*15%,0)</f>
        <v>33617</v>
      </c>
      <c r="D62" s="184">
        <f>ROUND(D61*15%,0)</f>
        <v>22342</v>
      </c>
      <c r="F62" s="839">
        <f>ROUND(F61*15%,0)</f>
        <v>27886</v>
      </c>
      <c r="G62" s="184">
        <f>ROUND(G61*15%,0)</f>
        <v>23444</v>
      </c>
    </row>
    <row r="63" spans="1:13" s="35" customFormat="1" ht="11.25" x14ac:dyDescent="0.25">
      <c r="A63" s="423"/>
      <c r="B63" s="423"/>
      <c r="C63" s="855"/>
      <c r="D63" s="201"/>
      <c r="F63" s="855"/>
      <c r="G63" s="201"/>
    </row>
    <row r="64" spans="1:13" s="35" customFormat="1" ht="11.25" x14ac:dyDescent="0.25">
      <c r="A64" s="293" t="s">
        <v>1246</v>
      </c>
      <c r="B64" s="293" t="s">
        <v>1247</v>
      </c>
      <c r="C64" s="867"/>
      <c r="D64" s="229"/>
      <c r="E64" s="108"/>
      <c r="F64" s="867"/>
      <c r="G64" s="229"/>
    </row>
    <row r="65" spans="1:7" s="35" customFormat="1" ht="11.25" x14ac:dyDescent="0.25">
      <c r="A65" s="292" t="s">
        <v>1091</v>
      </c>
      <c r="B65" s="292" t="s">
        <v>1090</v>
      </c>
      <c r="C65" s="867" t="s">
        <v>572</v>
      </c>
      <c r="D65" s="229" t="s">
        <v>572</v>
      </c>
      <c r="E65" s="108"/>
      <c r="F65" s="867">
        <v>-1367</v>
      </c>
      <c r="G65" s="229">
        <v>-2555</v>
      </c>
    </row>
    <row r="66" spans="1:7" s="35" customFormat="1" ht="11.25" x14ac:dyDescent="0.25">
      <c r="A66" s="389" t="s">
        <v>1354</v>
      </c>
      <c r="B66" s="389" t="s">
        <v>1355</v>
      </c>
      <c r="C66" s="840">
        <v>272</v>
      </c>
      <c r="D66" s="250">
        <v>266</v>
      </c>
      <c r="F66" s="840">
        <v>120</v>
      </c>
      <c r="G66" s="250">
        <v>115</v>
      </c>
    </row>
    <row r="67" spans="1:7" s="35" customFormat="1" ht="11.25" x14ac:dyDescent="0.2">
      <c r="A67" s="389" t="s">
        <v>91</v>
      </c>
      <c r="B67" s="389" t="s">
        <v>261</v>
      </c>
      <c r="C67" s="985">
        <v>17310</v>
      </c>
      <c r="D67" s="283">
        <v>890</v>
      </c>
      <c r="F67" s="985">
        <v>18458</v>
      </c>
      <c r="G67" s="283">
        <v>-673</v>
      </c>
    </row>
    <row r="68" spans="1:7" s="35" customFormat="1" ht="11.25" x14ac:dyDescent="0.25">
      <c r="A68" s="423"/>
      <c r="B68" s="423"/>
      <c r="C68" s="936"/>
      <c r="D68" s="278"/>
      <c r="F68" s="936"/>
      <c r="G68" s="278"/>
    </row>
    <row r="69" spans="1:7" s="35" customFormat="1" ht="23.25" thickBot="1" x14ac:dyDescent="0.25">
      <c r="A69" s="169" t="s">
        <v>1192</v>
      </c>
      <c r="B69" s="150" t="s">
        <v>1194</v>
      </c>
      <c r="C69" s="986">
        <f>C10</f>
        <v>-20083</v>
      </c>
      <c r="D69" s="724">
        <f>D10</f>
        <v>-5146</v>
      </c>
      <c r="E69" s="764"/>
      <c r="F69" s="986">
        <f>F10</f>
        <v>-20187</v>
      </c>
      <c r="G69" s="724">
        <f>G10</f>
        <v>-1482</v>
      </c>
    </row>
    <row r="70" spans="1:7" s="35" customFormat="1" ht="11.25" x14ac:dyDescent="0.25">
      <c r="A70" s="991" t="s">
        <v>1250</v>
      </c>
      <c r="B70" s="991" t="s">
        <v>1251</v>
      </c>
      <c r="C70" s="989">
        <f>SUM(C62:C67,C69)</f>
        <v>31116</v>
      </c>
      <c r="D70" s="992">
        <f>SUM(D62:D67,D69)</f>
        <v>18352</v>
      </c>
      <c r="F70" s="989">
        <f>SUM(F62:F67,F69)</f>
        <v>24910</v>
      </c>
      <c r="G70" s="990">
        <f>SUM(G62:G67,G69)</f>
        <v>18849</v>
      </c>
    </row>
    <row r="71" spans="1:7" s="35" customFormat="1" ht="11.25" x14ac:dyDescent="0.25">
      <c r="A71" s="423"/>
      <c r="B71" s="423"/>
      <c r="C71" s="936"/>
      <c r="D71" s="278"/>
      <c r="F71" s="936"/>
      <c r="G71" s="278"/>
    </row>
    <row r="72" spans="1:7" s="35" customFormat="1" ht="12" thickBot="1" x14ac:dyDescent="0.3">
      <c r="A72" s="150" t="s">
        <v>1252</v>
      </c>
      <c r="B72" s="150" t="s">
        <v>1196</v>
      </c>
      <c r="C72" s="987">
        <f>C11</f>
        <v>-129023</v>
      </c>
      <c r="D72" s="285" t="str">
        <f>D11</f>
        <v>‒</v>
      </c>
      <c r="E72" s="108"/>
      <c r="F72" s="987">
        <f>F11</f>
        <v>10105</v>
      </c>
      <c r="G72" s="285" t="str">
        <f>G11</f>
        <v>‒</v>
      </c>
    </row>
    <row r="73" spans="1:7" s="35" customFormat="1" ht="12" thickBot="1" x14ac:dyDescent="0.3">
      <c r="A73" s="988" t="s">
        <v>101</v>
      </c>
      <c r="B73" s="988" t="s">
        <v>669</v>
      </c>
      <c r="C73" s="948">
        <f>SUM(C70,C72)</f>
        <v>-97907</v>
      </c>
      <c r="D73" s="328">
        <f>SUM(D70,D72)</f>
        <v>18352</v>
      </c>
      <c r="F73" s="784">
        <f>SUM(F70,F72)</f>
        <v>35015</v>
      </c>
      <c r="G73" s="328">
        <f>SUM(G70,G72)</f>
        <v>18849</v>
      </c>
    </row>
    <row r="74" spans="1:7" s="35" customFormat="1" ht="12" thickBot="1" x14ac:dyDescent="0.3">
      <c r="A74" s="988" t="s">
        <v>1624</v>
      </c>
      <c r="B74" s="988" t="s">
        <v>1625</v>
      </c>
      <c r="C74" s="1282">
        <f>C70/C61</f>
        <v>0.13884005461506196</v>
      </c>
      <c r="D74" s="1282">
        <f>D70/D61</f>
        <v>0.12321326664204908</v>
      </c>
      <c r="F74" s="1282">
        <f>F70/F61</f>
        <v>0.13399244779619807</v>
      </c>
      <c r="G74" s="1282">
        <f>G70/G61</f>
        <v>0.12060272570222023</v>
      </c>
    </row>
    <row r="75" spans="1:7" s="35" customFormat="1" ht="11.25" x14ac:dyDescent="0.25">
      <c r="A75" s="445"/>
      <c r="B75" s="445"/>
      <c r="C75" s="73"/>
      <c r="D75" s="73"/>
      <c r="E75" s="74"/>
      <c r="F75" s="73"/>
      <c r="G75" s="1262"/>
    </row>
    <row r="76" spans="1:7" s="35" customFormat="1" ht="11.25" x14ac:dyDescent="0.25">
      <c r="A76" s="445"/>
      <c r="B76" s="445"/>
      <c r="C76" s="73"/>
      <c r="D76" s="73"/>
      <c r="E76" s="74"/>
      <c r="F76" s="73"/>
      <c r="G76" s="1262"/>
    </row>
    <row r="77" spans="1:7" s="35" customFormat="1" ht="11.25" x14ac:dyDescent="0.25">
      <c r="A77" s="440"/>
      <c r="B77" s="440"/>
      <c r="C77" s="437"/>
      <c r="D77" s="437"/>
    </row>
    <row r="78" spans="1:7" s="35" customFormat="1" ht="11.25" x14ac:dyDescent="0.25"/>
    <row r="79" spans="1:7" s="35" customFormat="1" ht="11.25" x14ac:dyDescent="0.25"/>
    <row r="80" spans="1:7" s="35" customFormat="1" ht="11.25" x14ac:dyDescent="0.25"/>
    <row r="81" s="35" customFormat="1" ht="11.25" x14ac:dyDescent="0.25"/>
    <row r="82" s="35" customFormat="1" ht="11.25" x14ac:dyDescent="0.25"/>
    <row r="83" s="35" customFormat="1" ht="11.25" x14ac:dyDescent="0.25"/>
    <row r="84" s="35" customFormat="1" ht="11.25" x14ac:dyDescent="0.25"/>
    <row r="85" s="35" customFormat="1" ht="11.25" x14ac:dyDescent="0.25"/>
    <row r="86" s="35" customFormat="1" ht="11.25" x14ac:dyDescent="0.25"/>
    <row r="87" s="35" customFormat="1" ht="11.25" x14ac:dyDescent="0.25"/>
    <row r="88" s="35" customFormat="1" ht="11.25" x14ac:dyDescent="0.25"/>
    <row r="89" s="35" customFormat="1" ht="11.25" x14ac:dyDescent="0.25"/>
    <row r="90" s="35" customFormat="1" ht="11.25" x14ac:dyDescent="0.25"/>
    <row r="91" s="35" customFormat="1" ht="11.25" x14ac:dyDescent="0.25"/>
    <row r="92" s="35" customFormat="1" ht="11.25" x14ac:dyDescent="0.25"/>
    <row r="93" s="35" customFormat="1" ht="11.25" x14ac:dyDescent="0.25"/>
    <row r="94" s="35" customFormat="1" ht="11.25" x14ac:dyDescent="0.25"/>
    <row r="95" s="35" customFormat="1" ht="11.25" x14ac:dyDescent="0.25"/>
    <row r="96" s="35" customFormat="1" ht="11.25" x14ac:dyDescent="0.25"/>
    <row r="97" s="35" customFormat="1" ht="11.25" x14ac:dyDescent="0.25"/>
    <row r="98" s="35" customFormat="1" ht="11.25" x14ac:dyDescent="0.25"/>
    <row r="99" s="35" customFormat="1" ht="11.25" x14ac:dyDescent="0.25"/>
    <row r="100" s="35" customFormat="1" ht="11.25" x14ac:dyDescent="0.25"/>
    <row r="101" s="35" customFormat="1" ht="11.25" x14ac:dyDescent="0.25"/>
    <row r="102" s="35" customFormat="1" ht="11.25" x14ac:dyDescent="0.25"/>
    <row r="103" s="35" customFormat="1" ht="11.25" x14ac:dyDescent="0.25"/>
    <row r="104" s="35" customFormat="1" ht="11.25" x14ac:dyDescent="0.25"/>
    <row r="105" s="35" customFormat="1" ht="11.25" x14ac:dyDescent="0.25"/>
    <row r="106" s="35" customFormat="1" ht="11.25" x14ac:dyDescent="0.25"/>
    <row r="107" s="35" customFormat="1" ht="11.25" x14ac:dyDescent="0.25"/>
    <row r="108" s="35" customFormat="1" ht="11.25" x14ac:dyDescent="0.25"/>
    <row r="109" s="35" customFormat="1" ht="11.25" x14ac:dyDescent="0.25"/>
    <row r="110" s="35" customFormat="1" ht="11.25" x14ac:dyDescent="0.25"/>
    <row r="111" s="35" customFormat="1" ht="11.25" x14ac:dyDescent="0.25"/>
    <row r="112" s="35" customFormat="1" ht="11.25" x14ac:dyDescent="0.25"/>
    <row r="113" s="35" customFormat="1" ht="11.25" x14ac:dyDescent="0.25"/>
    <row r="114" s="35" customFormat="1" ht="11.25" x14ac:dyDescent="0.25"/>
    <row r="115" s="35" customFormat="1" ht="11.25" x14ac:dyDescent="0.25"/>
    <row r="116" s="35" customFormat="1" ht="11.25" x14ac:dyDescent="0.25"/>
    <row r="117" s="35" customFormat="1" ht="11.25" x14ac:dyDescent="0.25"/>
    <row r="118" s="35" customFormat="1" ht="11.25" x14ac:dyDescent="0.25"/>
    <row r="119" s="35" customFormat="1" ht="11.25" x14ac:dyDescent="0.25"/>
    <row r="120" s="35" customFormat="1" ht="11.25" x14ac:dyDescent="0.25"/>
    <row r="121" s="35" customFormat="1" ht="11.25" x14ac:dyDescent="0.25"/>
    <row r="122" s="35" customFormat="1" ht="11.25" x14ac:dyDescent="0.25"/>
    <row r="123" s="35" customFormat="1" ht="11.25" x14ac:dyDescent="0.25"/>
    <row r="124" s="35" customFormat="1" ht="11.25" x14ac:dyDescent="0.25"/>
    <row r="125" s="35" customFormat="1" ht="11.25" x14ac:dyDescent="0.25"/>
    <row r="126" s="35" customFormat="1" ht="11.25" x14ac:dyDescent="0.25"/>
    <row r="127" s="35" customFormat="1" ht="11.25" x14ac:dyDescent="0.25"/>
    <row r="128" s="35" customFormat="1" ht="11.25" x14ac:dyDescent="0.25"/>
    <row r="129" s="35" customFormat="1" ht="11.25" x14ac:dyDescent="0.25"/>
    <row r="130" s="35" customFormat="1" ht="11.25" x14ac:dyDescent="0.25"/>
    <row r="131" s="35" customFormat="1" ht="11.25" x14ac:dyDescent="0.25"/>
    <row r="132" s="35" customFormat="1" ht="11.25" x14ac:dyDescent="0.25"/>
    <row r="133" s="35" customFormat="1" ht="11.25" x14ac:dyDescent="0.25"/>
    <row r="134" s="35" customFormat="1" ht="11.25" x14ac:dyDescent="0.25"/>
    <row r="135" s="35" customFormat="1" ht="11.25" x14ac:dyDescent="0.25"/>
    <row r="136" s="35" customFormat="1" ht="11.25" x14ac:dyDescent="0.25"/>
    <row r="137" s="35" customFormat="1" ht="11.25" x14ac:dyDescent="0.25"/>
    <row r="138" s="35" customFormat="1" ht="11.25" x14ac:dyDescent="0.25"/>
    <row r="139" s="35" customFormat="1" ht="11.25" x14ac:dyDescent="0.25"/>
    <row r="140" s="35" customFormat="1" ht="11.25" x14ac:dyDescent="0.25"/>
    <row r="141" s="35" customFormat="1" ht="11.25" x14ac:dyDescent="0.25"/>
    <row r="142" s="35" customFormat="1" ht="11.25" x14ac:dyDescent="0.25"/>
    <row r="143" s="35" customFormat="1" ht="11.25" x14ac:dyDescent="0.25"/>
    <row r="144" s="35" customFormat="1" ht="11.25" x14ac:dyDescent="0.25"/>
    <row r="145" s="35" customFormat="1" ht="11.25" x14ac:dyDescent="0.25"/>
    <row r="146" s="35" customFormat="1" ht="11.25" x14ac:dyDescent="0.25"/>
    <row r="147" s="35" customFormat="1" ht="11.25" x14ac:dyDescent="0.25"/>
    <row r="148" s="35" customFormat="1" ht="11.25" x14ac:dyDescent="0.25"/>
    <row r="149" s="35" customFormat="1" ht="11.25" x14ac:dyDescent="0.25"/>
    <row r="150" s="35" customFormat="1" ht="11.25" x14ac:dyDescent="0.25"/>
    <row r="151" s="35" customFormat="1" ht="11.25" x14ac:dyDescent="0.25"/>
    <row r="152" s="35" customFormat="1" ht="11.25" x14ac:dyDescent="0.25"/>
    <row r="153" s="35" customFormat="1" ht="11.25" x14ac:dyDescent="0.25"/>
    <row r="154" s="35" customFormat="1" ht="11.25" x14ac:dyDescent="0.25"/>
    <row r="155" s="35" customFormat="1" ht="11.25" x14ac:dyDescent="0.25"/>
    <row r="156" s="35" customFormat="1" ht="11.25" x14ac:dyDescent="0.25"/>
    <row r="157" s="35" customFormat="1" ht="11.25" x14ac:dyDescent="0.25"/>
    <row r="158" s="35" customFormat="1" ht="11.25" x14ac:dyDescent="0.25"/>
    <row r="159" s="35" customFormat="1" ht="11.25" x14ac:dyDescent="0.25"/>
    <row r="160" s="35" customFormat="1" ht="11.25" x14ac:dyDescent="0.25"/>
    <row r="161" s="35" customFormat="1" ht="11.25" x14ac:dyDescent="0.25"/>
    <row r="162" s="35" customFormat="1" ht="11.25" x14ac:dyDescent="0.25"/>
    <row r="163" s="35" customFormat="1" ht="11.25" x14ac:dyDescent="0.25"/>
    <row r="164" s="35" customFormat="1" ht="11.25" x14ac:dyDescent="0.25"/>
    <row r="165" s="35" customFormat="1" ht="11.25" x14ac:dyDescent="0.25"/>
    <row r="166" s="35" customFormat="1" ht="11.25" x14ac:dyDescent="0.25"/>
    <row r="167" s="35" customFormat="1" ht="11.25" x14ac:dyDescent="0.25"/>
    <row r="168" s="35" customFormat="1" ht="11.25" x14ac:dyDescent="0.25"/>
    <row r="169" s="35" customFormat="1" ht="11.25" x14ac:dyDescent="0.25"/>
    <row r="170" s="35" customFormat="1" ht="11.25" x14ac:dyDescent="0.25"/>
    <row r="171" s="35" customFormat="1" ht="11.25" x14ac:dyDescent="0.25"/>
    <row r="172" s="35" customFormat="1" ht="11.25" x14ac:dyDescent="0.25"/>
    <row r="173" s="35" customFormat="1" ht="11.25" x14ac:dyDescent="0.25"/>
    <row r="174" s="35" customFormat="1" ht="11.25" x14ac:dyDescent="0.25"/>
    <row r="175" s="35" customFormat="1" ht="11.25" x14ac:dyDescent="0.25"/>
    <row r="176" s="35" customFormat="1" ht="11.25" x14ac:dyDescent="0.25"/>
    <row r="177" s="35" customFormat="1" ht="11.25" x14ac:dyDescent="0.25"/>
    <row r="178" s="35" customFormat="1" ht="11.25" x14ac:dyDescent="0.25"/>
    <row r="179" s="35" customFormat="1" ht="11.25" x14ac:dyDescent="0.25"/>
    <row r="180" s="35" customFormat="1" ht="11.25" x14ac:dyDescent="0.25"/>
    <row r="181" s="35" customFormat="1" ht="11.25" x14ac:dyDescent="0.25"/>
    <row r="182" s="35" customFormat="1" ht="11.25" x14ac:dyDescent="0.25"/>
    <row r="183" s="35" customFormat="1" ht="11.25" x14ac:dyDescent="0.25"/>
    <row r="184" s="35" customFormat="1" ht="11.25" x14ac:dyDescent="0.25"/>
    <row r="185" s="35" customFormat="1" ht="11.25" x14ac:dyDescent="0.25"/>
    <row r="186" s="35" customFormat="1" ht="11.25" x14ac:dyDescent="0.25"/>
    <row r="187" s="35" customFormat="1" ht="11.25" x14ac:dyDescent="0.25"/>
    <row r="188" s="35" customFormat="1" ht="11.25" x14ac:dyDescent="0.25"/>
    <row r="189" s="35" customFormat="1" ht="11.25" x14ac:dyDescent="0.25"/>
    <row r="190" s="35" customFormat="1" ht="11.25" x14ac:dyDescent="0.25"/>
    <row r="191" s="35" customFormat="1" ht="11.25" x14ac:dyDescent="0.25"/>
    <row r="192" s="35" customFormat="1" ht="11.25" x14ac:dyDescent="0.25"/>
    <row r="193" s="35" customFormat="1" ht="11.25" x14ac:dyDescent="0.25"/>
    <row r="194" s="35" customFormat="1" ht="11.25" x14ac:dyDescent="0.25"/>
    <row r="195" s="35" customFormat="1" ht="11.25" x14ac:dyDescent="0.25"/>
    <row r="196" s="35" customFormat="1" ht="11.25" x14ac:dyDescent="0.25"/>
    <row r="197" s="35" customFormat="1" ht="11.25" x14ac:dyDescent="0.25"/>
    <row r="198" s="35" customFormat="1" ht="11.25" x14ac:dyDescent="0.25"/>
    <row r="199" s="35" customFormat="1" ht="11.25" x14ac:dyDescent="0.25"/>
    <row r="200" s="35" customFormat="1" ht="11.25" x14ac:dyDescent="0.25"/>
    <row r="201" s="35" customFormat="1" ht="11.25" x14ac:dyDescent="0.25"/>
    <row r="202" s="35" customFormat="1" ht="11.25" x14ac:dyDescent="0.25"/>
    <row r="203" s="35" customFormat="1" ht="11.25" x14ac:dyDescent="0.25"/>
    <row r="204" s="35" customFormat="1" ht="11.25" x14ac:dyDescent="0.25"/>
    <row r="205" s="35" customFormat="1" ht="11.25" x14ac:dyDescent="0.25"/>
    <row r="206" s="35" customFormat="1" ht="11.25" x14ac:dyDescent="0.25"/>
    <row r="207" s="35" customFormat="1" ht="11.25" x14ac:dyDescent="0.25"/>
    <row r="208" s="35" customFormat="1" ht="11.25" x14ac:dyDescent="0.25"/>
    <row r="209" s="35" customFormat="1" ht="11.25" x14ac:dyDescent="0.25"/>
    <row r="210" s="35" customFormat="1" ht="11.25" x14ac:dyDescent="0.25"/>
    <row r="211" s="35" customFormat="1" ht="11.25" x14ac:dyDescent="0.25"/>
    <row r="212" s="35" customFormat="1" ht="11.25" x14ac:dyDescent="0.25"/>
    <row r="213" s="35" customFormat="1" ht="11.25" x14ac:dyDescent="0.25"/>
    <row r="214" s="35" customFormat="1" ht="11.25" x14ac:dyDescent="0.25"/>
    <row r="215" s="35" customFormat="1" ht="11.25" x14ac:dyDescent="0.25"/>
    <row r="216" s="35" customFormat="1" ht="11.25" x14ac:dyDescent="0.25"/>
    <row r="217" s="35" customFormat="1" ht="11.25" x14ac:dyDescent="0.25"/>
    <row r="218" s="35" customFormat="1" ht="11.25" x14ac:dyDescent="0.25"/>
    <row r="219" s="35" customFormat="1" ht="11.25" x14ac:dyDescent="0.25"/>
    <row r="220" s="35" customFormat="1" ht="11.25" x14ac:dyDescent="0.25"/>
    <row r="221" s="35" customFormat="1" ht="11.25" x14ac:dyDescent="0.25"/>
    <row r="222" s="35" customFormat="1" ht="11.25" x14ac:dyDescent="0.25"/>
    <row r="223" s="35" customFormat="1" ht="11.25" x14ac:dyDescent="0.25"/>
    <row r="224" s="35" customFormat="1" ht="11.25" x14ac:dyDescent="0.25"/>
    <row r="225" s="35" customFormat="1" ht="11.25" x14ac:dyDescent="0.25"/>
    <row r="226" s="35" customFormat="1" ht="11.25" x14ac:dyDescent="0.25"/>
    <row r="227" s="35" customFormat="1" ht="11.25" x14ac:dyDescent="0.25"/>
    <row r="228" s="35" customFormat="1" ht="11.25" x14ac:dyDescent="0.25"/>
    <row r="229" s="35" customFormat="1" ht="11.25" x14ac:dyDescent="0.25"/>
    <row r="230" s="35" customFormat="1" ht="11.25" x14ac:dyDescent="0.25"/>
    <row r="231" s="35" customFormat="1" ht="11.25" x14ac:dyDescent="0.25"/>
    <row r="232" s="35" customFormat="1" ht="11.25" x14ac:dyDescent="0.25"/>
    <row r="233" s="35" customFormat="1" ht="11.25" x14ac:dyDescent="0.25"/>
    <row r="234" s="35" customFormat="1" ht="11.25" x14ac:dyDescent="0.25"/>
    <row r="235" s="35" customFormat="1" ht="11.25" x14ac:dyDescent="0.25"/>
    <row r="236" s="35" customFormat="1" ht="11.25" x14ac:dyDescent="0.25"/>
    <row r="237" s="35" customFormat="1" ht="11.25" x14ac:dyDescent="0.25"/>
    <row r="238" s="35" customFormat="1" ht="11.25" x14ac:dyDescent="0.25"/>
    <row r="239" s="35" customFormat="1" ht="11.25" x14ac:dyDescent="0.25"/>
    <row r="240" s="35" customFormat="1" ht="11.25" x14ac:dyDescent="0.25"/>
    <row r="241" s="35" customFormat="1" ht="11.25" x14ac:dyDescent="0.25"/>
    <row r="242" s="35" customFormat="1" ht="11.25" x14ac:dyDescent="0.25"/>
    <row r="243" s="35" customFormat="1" ht="11.25" x14ac:dyDescent="0.25"/>
    <row r="244" s="35" customFormat="1" ht="11.25" x14ac:dyDescent="0.25"/>
    <row r="245" s="35" customFormat="1" ht="11.25" x14ac:dyDescent="0.25"/>
    <row r="246" s="35" customFormat="1" ht="11.25" x14ac:dyDescent="0.25"/>
    <row r="247" s="35" customFormat="1" ht="11.25" x14ac:dyDescent="0.25"/>
    <row r="248" s="35" customFormat="1" ht="11.25" x14ac:dyDescent="0.25"/>
    <row r="249" s="35" customFormat="1" ht="11.25" x14ac:dyDescent="0.25"/>
    <row r="250" s="35" customFormat="1" ht="11.25" x14ac:dyDescent="0.25"/>
    <row r="251" s="35" customFormat="1" ht="11.25" x14ac:dyDescent="0.25"/>
    <row r="252" s="35" customFormat="1" ht="11.25" x14ac:dyDescent="0.25"/>
    <row r="253" s="35" customFormat="1" ht="11.25" x14ac:dyDescent="0.25"/>
    <row r="254" s="35" customFormat="1" ht="11.25" x14ac:dyDescent="0.25"/>
    <row r="255" s="35" customFormat="1" ht="11.25" x14ac:dyDescent="0.25"/>
    <row r="256" s="35" customFormat="1" ht="11.25" x14ac:dyDescent="0.25"/>
    <row r="257" s="35" customFormat="1" ht="11.25" x14ac:dyDescent="0.25"/>
    <row r="258" s="35" customFormat="1" ht="11.25" x14ac:dyDescent="0.25"/>
    <row r="259" s="35" customFormat="1" ht="11.25" x14ac:dyDescent="0.25"/>
    <row r="260" s="35" customFormat="1" ht="11.25" x14ac:dyDescent="0.25"/>
    <row r="261" s="35" customFormat="1" ht="11.25" x14ac:dyDescent="0.25"/>
    <row r="262" s="35" customFormat="1" ht="11.25" x14ac:dyDescent="0.25"/>
    <row r="263" s="35" customFormat="1" ht="11.25" x14ac:dyDescent="0.25"/>
    <row r="264" s="35" customFormat="1" ht="11.25" x14ac:dyDescent="0.25"/>
    <row r="265" s="35" customFormat="1" ht="11.25" x14ac:dyDescent="0.25"/>
    <row r="266" s="35" customFormat="1" ht="11.25" x14ac:dyDescent="0.25"/>
    <row r="267" s="35" customFormat="1" ht="11.25" x14ac:dyDescent="0.25"/>
    <row r="268" s="35" customFormat="1" ht="11.25" x14ac:dyDescent="0.25"/>
    <row r="269" s="35" customFormat="1" ht="11.25" x14ac:dyDescent="0.25"/>
    <row r="270" s="35" customFormat="1" ht="11.25" x14ac:dyDescent="0.25"/>
    <row r="271" s="35" customFormat="1" ht="11.25" x14ac:dyDescent="0.25"/>
    <row r="272" s="35" customFormat="1" ht="11.25" x14ac:dyDescent="0.25"/>
    <row r="273" s="35" customFormat="1" ht="11.25" x14ac:dyDescent="0.25"/>
    <row r="274" s="35" customFormat="1" ht="11.25" x14ac:dyDescent="0.25"/>
    <row r="275" s="35" customFormat="1" ht="11.25" x14ac:dyDescent="0.25"/>
    <row r="276" s="35" customFormat="1" ht="11.25" x14ac:dyDescent="0.25"/>
    <row r="277" s="35" customFormat="1" ht="11.25" x14ac:dyDescent="0.25"/>
    <row r="278" s="35" customFormat="1" ht="11.25" x14ac:dyDescent="0.25"/>
    <row r="279" s="35" customFormat="1" ht="11.25" x14ac:dyDescent="0.25"/>
    <row r="280" s="35" customFormat="1" ht="11.25" x14ac:dyDescent="0.25"/>
    <row r="281" s="35" customFormat="1" ht="11.25" x14ac:dyDescent="0.25"/>
    <row r="282" s="35" customFormat="1" ht="11.25" x14ac:dyDescent="0.25"/>
    <row r="283" s="35" customFormat="1" ht="11.25" x14ac:dyDescent="0.25"/>
    <row r="284" s="35" customFormat="1" ht="11.25" x14ac:dyDescent="0.25"/>
    <row r="285" s="35" customFormat="1" ht="11.25" x14ac:dyDescent="0.25"/>
    <row r="286" s="35" customFormat="1" ht="11.25" x14ac:dyDescent="0.25"/>
    <row r="287" s="35" customFormat="1" ht="11.25" x14ac:dyDescent="0.25"/>
    <row r="288" s="35" customFormat="1" ht="11.25" x14ac:dyDescent="0.25"/>
    <row r="289" s="35" customFormat="1" ht="11.25" x14ac:dyDescent="0.25"/>
    <row r="290" s="35" customFormat="1" ht="11.25" x14ac:dyDescent="0.25"/>
    <row r="291" s="35" customFormat="1" ht="11.25" x14ac:dyDescent="0.25"/>
    <row r="292" s="35" customFormat="1" ht="11.25" x14ac:dyDescent="0.25"/>
    <row r="293" s="35" customFormat="1" ht="11.25" x14ac:dyDescent="0.25"/>
    <row r="294" s="35" customFormat="1" ht="11.25" x14ac:dyDescent="0.25"/>
    <row r="295" s="35" customFormat="1" ht="11.25" x14ac:dyDescent="0.25"/>
    <row r="296" s="35" customFormat="1" ht="11.25" x14ac:dyDescent="0.25"/>
    <row r="297" s="35" customFormat="1" ht="11.25" x14ac:dyDescent="0.25"/>
    <row r="298" s="35" customFormat="1" ht="11.25" x14ac:dyDescent="0.25"/>
    <row r="299" s="35" customFormat="1" ht="11.25" x14ac:dyDescent="0.25"/>
    <row r="300" s="35" customFormat="1" ht="11.25" x14ac:dyDescent="0.25"/>
    <row r="301" s="35" customFormat="1" ht="11.25" x14ac:dyDescent="0.25"/>
    <row r="302" s="35" customFormat="1" ht="11.25" x14ac:dyDescent="0.25"/>
    <row r="303" s="35" customFormat="1" ht="11.25" x14ac:dyDescent="0.25"/>
    <row r="304" s="35" customFormat="1" ht="11.25" x14ac:dyDescent="0.25"/>
    <row r="305" s="35" customFormat="1" ht="11.25" x14ac:dyDescent="0.25"/>
    <row r="306" s="35" customFormat="1" ht="11.25" x14ac:dyDescent="0.25"/>
    <row r="307" s="35" customFormat="1" ht="11.25" x14ac:dyDescent="0.25"/>
    <row r="308" s="35" customFormat="1" ht="11.25" x14ac:dyDescent="0.25"/>
    <row r="309" s="35" customFormat="1" ht="11.25" x14ac:dyDescent="0.25"/>
  </sheetData>
  <sheetProtection algorithmName="SHA-512" hashValue="tepoBTlCK5C4Z+e3kgdunwD7FCt/gsdwctc3g02qXGDFG47XeYYje6jjLxrSVg9OE9yt5i6BEW4WwLPBlQ86nw==" saltValue="PYBwAycX+xaBgd2Eb6KxLg==" spinCount="100000" sheet="1" objects="1" scenarios="1"/>
  <mergeCells count="18">
    <mergeCell ref="A58:A59"/>
    <mergeCell ref="B58:B59"/>
    <mergeCell ref="C58:D58"/>
    <mergeCell ref="F58:G58"/>
    <mergeCell ref="C30:G30"/>
    <mergeCell ref="I30:M30"/>
    <mergeCell ref="C31:D31"/>
    <mergeCell ref="F31:G31"/>
    <mergeCell ref="I31:J31"/>
    <mergeCell ref="L31:M31"/>
    <mergeCell ref="A5:A6"/>
    <mergeCell ref="B5:B6"/>
    <mergeCell ref="C5:D5"/>
    <mergeCell ref="F5:G5"/>
    <mergeCell ref="A15:A16"/>
    <mergeCell ref="B15:B16"/>
    <mergeCell ref="C15:D15"/>
    <mergeCell ref="F15:G15"/>
  </mergeCells>
  <pageMargins left="0" right="0" top="0.78740157480314965" bottom="0" header="0.31496062992125984" footer="0.31496062992125984"/>
  <pageSetup paperSize="9" scale="75" fitToHeight="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5" topLeftCell="A6" activePane="bottomLeft" state="frozen"/>
      <selection pane="bottomLeft" activeCell="A6" sqref="A6"/>
    </sheetView>
  </sheetViews>
  <sheetFormatPr defaultColWidth="9.140625" defaultRowHeight="15" outlineLevelRow="1" outlineLevelCol="1" x14ac:dyDescent="0.25"/>
  <cols>
    <col min="1" max="1" width="41.7109375" style="4" customWidth="1"/>
    <col min="2" max="2" width="32.85546875" style="4" customWidth="1" outlineLevel="1"/>
    <col min="3" max="5" width="11.140625" style="4" customWidth="1"/>
    <col min="6" max="6" width="11.140625" style="9" customWidth="1"/>
    <col min="7" max="7" width="4.140625" style="4" customWidth="1"/>
    <col min="8" max="11" width="11.140625" style="4" customWidth="1"/>
    <col min="12" max="16384" width="9.140625" style="4"/>
  </cols>
  <sheetData>
    <row r="1" spans="1:11" x14ac:dyDescent="0.25">
      <c r="A1" s="20" t="s">
        <v>967</v>
      </c>
      <c r="B1" s="20" t="s">
        <v>968</v>
      </c>
    </row>
    <row r="2" spans="1:11" x14ac:dyDescent="0.25">
      <c r="A2" s="20" t="s">
        <v>970</v>
      </c>
      <c r="B2" s="20" t="s">
        <v>969</v>
      </c>
    </row>
    <row r="3" spans="1:11" s="6" customFormat="1" ht="15.75" x14ac:dyDescent="0.25">
      <c r="A3" s="76" t="s">
        <v>1102</v>
      </c>
      <c r="B3" s="704" t="s">
        <v>1724</v>
      </c>
      <c r="F3" s="7"/>
    </row>
    <row r="4" spans="1:11" ht="15.75" x14ac:dyDescent="0.25">
      <c r="A4" s="8"/>
      <c r="B4" s="8"/>
    </row>
    <row r="5" spans="1:11" s="5" customFormat="1" ht="13.5" thickBot="1" x14ac:dyDescent="0.25">
      <c r="A5" s="1283" t="s">
        <v>106</v>
      </c>
      <c r="B5" s="1284" t="s">
        <v>486</v>
      </c>
      <c r="C5" s="10" t="s">
        <v>107</v>
      </c>
      <c r="F5" s="11"/>
      <c r="K5" s="458" t="s">
        <v>51</v>
      </c>
    </row>
    <row r="6" spans="1:11" s="5" customFormat="1" ht="15.75" customHeight="1" thickBot="1" x14ac:dyDescent="0.25">
      <c r="A6" s="455"/>
      <c r="B6" s="456"/>
      <c r="C6" s="1518" t="s">
        <v>949</v>
      </c>
      <c r="D6" s="1518"/>
      <c r="E6" s="1518"/>
      <c r="F6" s="1518"/>
      <c r="G6" s="454"/>
      <c r="H6" s="1518" t="s">
        <v>1673</v>
      </c>
      <c r="I6" s="1518"/>
      <c r="J6" s="1518"/>
      <c r="K6" s="1518"/>
    </row>
    <row r="7" spans="1:11" s="444" customFormat="1" ht="34.5" thickBot="1" x14ac:dyDescent="0.25">
      <c r="A7" s="393"/>
      <c r="B7" s="393"/>
      <c r="C7" s="328" t="s">
        <v>879</v>
      </c>
      <c r="D7" s="328" t="s">
        <v>665</v>
      </c>
      <c r="E7" s="328" t="s">
        <v>108</v>
      </c>
      <c r="F7" s="328" t="s">
        <v>50</v>
      </c>
      <c r="H7" s="328" t="s">
        <v>879</v>
      </c>
      <c r="I7" s="328" t="s">
        <v>665</v>
      </c>
      <c r="J7" s="328" t="s">
        <v>108</v>
      </c>
      <c r="K7" s="328" t="s">
        <v>50</v>
      </c>
    </row>
    <row r="8" spans="1:11" s="444" customFormat="1" ht="45.75" outlineLevel="1" thickBot="1" x14ac:dyDescent="0.25">
      <c r="A8" s="393"/>
      <c r="B8" s="393"/>
      <c r="C8" s="328" t="s">
        <v>878</v>
      </c>
      <c r="D8" s="328" t="s">
        <v>286</v>
      </c>
      <c r="E8" s="328" t="s">
        <v>880</v>
      </c>
      <c r="F8" s="328" t="s">
        <v>277</v>
      </c>
      <c r="H8" s="328" t="s">
        <v>878</v>
      </c>
      <c r="I8" s="328" t="s">
        <v>286</v>
      </c>
      <c r="J8" s="328" t="s">
        <v>880</v>
      </c>
      <c r="K8" s="328" t="s">
        <v>277</v>
      </c>
    </row>
    <row r="9" spans="1:11" s="444" customFormat="1" ht="11.25" x14ac:dyDescent="0.2">
      <c r="A9" s="445"/>
      <c r="B9" s="445"/>
      <c r="C9" s="100"/>
      <c r="D9" s="100"/>
      <c r="E9" s="100"/>
      <c r="F9" s="101"/>
      <c r="H9" s="100"/>
      <c r="I9" s="100"/>
      <c r="J9" s="100"/>
      <c r="K9" s="101"/>
    </row>
    <row r="10" spans="1:11" s="444" customFormat="1" ht="11.25" x14ac:dyDescent="0.2">
      <c r="A10" s="445"/>
      <c r="B10" s="445"/>
      <c r="C10" s="100"/>
      <c r="D10" s="100"/>
      <c r="E10" s="100"/>
      <c r="F10" s="101"/>
      <c r="H10" s="100"/>
      <c r="I10" s="100"/>
      <c r="J10" s="100"/>
      <c r="K10" s="101"/>
    </row>
    <row r="11" spans="1:11" s="444" customFormat="1" ht="11.25" x14ac:dyDescent="0.2">
      <c r="A11" s="1263" t="s">
        <v>732</v>
      </c>
      <c r="B11" s="1263" t="s">
        <v>799</v>
      </c>
      <c r="C11" s="285"/>
      <c r="D11" s="285"/>
      <c r="E11" s="285"/>
      <c r="F11" s="398"/>
      <c r="H11" s="285"/>
      <c r="I11" s="285"/>
      <c r="J11" s="285"/>
      <c r="K11" s="398"/>
    </row>
    <row r="12" spans="1:11" s="444" customFormat="1" ht="11.25" x14ac:dyDescent="0.2">
      <c r="A12" s="292" t="s">
        <v>109</v>
      </c>
      <c r="B12" s="292" t="s">
        <v>287</v>
      </c>
      <c r="C12" s="279">
        <v>2507</v>
      </c>
      <c r="D12" s="279">
        <v>44038</v>
      </c>
      <c r="E12" s="279">
        <v>343</v>
      </c>
      <c r="F12" s="404">
        <v>46888</v>
      </c>
      <c r="H12" s="279">
        <v>10888</v>
      </c>
      <c r="I12" s="279">
        <v>41588</v>
      </c>
      <c r="J12" s="279">
        <v>202</v>
      </c>
      <c r="K12" s="404">
        <v>52678</v>
      </c>
    </row>
    <row r="13" spans="1:11" s="444" customFormat="1" ht="12" thickBot="1" x14ac:dyDescent="0.25">
      <c r="A13" s="423" t="s">
        <v>110</v>
      </c>
      <c r="B13" s="423" t="s">
        <v>288</v>
      </c>
      <c r="C13" s="278">
        <v>-1859</v>
      </c>
      <c r="D13" s="278">
        <v>-30624</v>
      </c>
      <c r="E13" s="278" t="s">
        <v>572</v>
      </c>
      <c r="F13" s="398">
        <v>-32483</v>
      </c>
      <c r="H13" s="278">
        <v>-3182</v>
      </c>
      <c r="I13" s="278">
        <v>-29650</v>
      </c>
      <c r="J13" s="278" t="s">
        <v>572</v>
      </c>
      <c r="K13" s="398">
        <v>-32832</v>
      </c>
    </row>
    <row r="14" spans="1:11" s="444" customFormat="1" ht="11.25" x14ac:dyDescent="0.2">
      <c r="A14" s="995" t="s">
        <v>111</v>
      </c>
      <c r="B14" s="995" t="s">
        <v>289</v>
      </c>
      <c r="C14" s="996">
        <v>648</v>
      </c>
      <c r="D14" s="996">
        <v>13414</v>
      </c>
      <c r="E14" s="996">
        <v>343</v>
      </c>
      <c r="F14" s="996">
        <v>14405</v>
      </c>
      <c r="H14" s="996">
        <v>7706</v>
      </c>
      <c r="I14" s="996">
        <v>11938</v>
      </c>
      <c r="J14" s="996">
        <v>202</v>
      </c>
      <c r="K14" s="996">
        <v>19846</v>
      </c>
    </row>
    <row r="15" spans="1:11" s="444" customFormat="1" ht="11.25" x14ac:dyDescent="0.2"/>
    <row r="16" spans="1:11" s="444" customFormat="1" ht="11.25" x14ac:dyDescent="0.2">
      <c r="A16" s="1263" t="s">
        <v>797</v>
      </c>
      <c r="B16" s="1263" t="s">
        <v>798</v>
      </c>
      <c r="C16" s="285"/>
      <c r="D16" s="285"/>
      <c r="E16" s="285"/>
      <c r="F16" s="398"/>
      <c r="H16" s="285"/>
      <c r="I16" s="285"/>
      <c r="J16" s="285"/>
      <c r="K16" s="398"/>
    </row>
    <row r="17" spans="1:11" s="444" customFormat="1" ht="11.25" x14ac:dyDescent="0.2">
      <c r="A17" s="292" t="s">
        <v>112</v>
      </c>
      <c r="B17" s="292" t="s">
        <v>290</v>
      </c>
      <c r="C17" s="314" t="s">
        <v>572</v>
      </c>
      <c r="D17" s="279">
        <v>966</v>
      </c>
      <c r="E17" s="279">
        <v>2737</v>
      </c>
      <c r="F17" s="404">
        <v>3703</v>
      </c>
      <c r="H17" s="279">
        <v>1</v>
      </c>
      <c r="I17" s="279">
        <v>758</v>
      </c>
      <c r="J17" s="279">
        <v>1933</v>
      </c>
      <c r="K17" s="404">
        <v>2692</v>
      </c>
    </row>
    <row r="18" spans="1:11" s="444" customFormat="1" ht="11.25" x14ac:dyDescent="0.2">
      <c r="A18" s="389" t="s">
        <v>118</v>
      </c>
      <c r="B18" s="389" t="s">
        <v>300</v>
      </c>
      <c r="C18" s="282" t="s">
        <v>572</v>
      </c>
      <c r="D18" s="282">
        <v>1568</v>
      </c>
      <c r="E18" s="282">
        <v>-1568</v>
      </c>
      <c r="F18" s="404" t="s">
        <v>572</v>
      </c>
      <c r="H18" s="282">
        <v>-48</v>
      </c>
      <c r="I18" s="282">
        <v>1568</v>
      </c>
      <c r="J18" s="282">
        <v>-1568</v>
      </c>
      <c r="K18" s="404">
        <f>SUM(H18:J18)</f>
        <v>-48</v>
      </c>
    </row>
    <row r="19" spans="1:11" s="444" customFormat="1" ht="11.25" x14ac:dyDescent="0.2">
      <c r="A19" s="389" t="s">
        <v>113</v>
      </c>
      <c r="B19" s="389" t="s">
        <v>291</v>
      </c>
      <c r="C19" s="282">
        <v>-211</v>
      </c>
      <c r="D19" s="282" t="s">
        <v>572</v>
      </c>
      <c r="E19" s="282" t="s">
        <v>572</v>
      </c>
      <c r="F19" s="404">
        <v>-211</v>
      </c>
      <c r="H19" s="282">
        <f>-746+48</f>
        <v>-698</v>
      </c>
      <c r="I19" s="282" t="s">
        <v>572</v>
      </c>
      <c r="J19" s="282" t="s">
        <v>572</v>
      </c>
      <c r="K19" s="404">
        <f>SUM(H19:J19)</f>
        <v>-698</v>
      </c>
    </row>
    <row r="20" spans="1:11" s="444" customFormat="1" ht="12" thickBot="1" x14ac:dyDescent="0.25">
      <c r="A20" s="423" t="s">
        <v>114</v>
      </c>
      <c r="B20" s="423" t="s">
        <v>292</v>
      </c>
      <c r="C20" s="278" t="s">
        <v>572</v>
      </c>
      <c r="D20" s="278">
        <v>-3363</v>
      </c>
      <c r="E20" s="278" t="s">
        <v>572</v>
      </c>
      <c r="F20" s="398">
        <v>-3363</v>
      </c>
      <c r="H20" s="278" t="s">
        <v>572</v>
      </c>
      <c r="I20" s="278">
        <v>-3023</v>
      </c>
      <c r="J20" s="278" t="s">
        <v>572</v>
      </c>
      <c r="K20" s="398">
        <f>SUM(H20:J20)</f>
        <v>-3023</v>
      </c>
    </row>
    <row r="21" spans="1:11" s="444" customFormat="1" ht="11.25" x14ac:dyDescent="0.2">
      <c r="A21" s="997" t="s">
        <v>747</v>
      </c>
      <c r="B21" s="997" t="s">
        <v>293</v>
      </c>
      <c r="C21" s="899">
        <v>437</v>
      </c>
      <c r="D21" s="899">
        <v>12585</v>
      </c>
      <c r="E21" s="899">
        <v>1512</v>
      </c>
      <c r="F21" s="899">
        <v>14534</v>
      </c>
      <c r="H21" s="899">
        <v>6961</v>
      </c>
      <c r="I21" s="899">
        <v>11241</v>
      </c>
      <c r="J21" s="899">
        <v>567</v>
      </c>
      <c r="K21" s="996">
        <f>SUM(H21:J21)</f>
        <v>18769</v>
      </c>
    </row>
    <row r="22" spans="1:11" s="444" customFormat="1" ht="11.25" x14ac:dyDescent="0.2">
      <c r="A22" s="445"/>
      <c r="B22" s="445"/>
      <c r="C22" s="285"/>
      <c r="D22" s="285"/>
      <c r="E22" s="285"/>
      <c r="F22" s="398"/>
      <c r="H22" s="285"/>
      <c r="I22" s="285"/>
      <c r="J22" s="285"/>
      <c r="K22" s="398"/>
    </row>
    <row r="23" spans="1:11" s="444" customFormat="1" ht="11.25" x14ac:dyDescent="0.2">
      <c r="A23" s="1263" t="s">
        <v>800</v>
      </c>
      <c r="B23" s="1263" t="s">
        <v>801</v>
      </c>
      <c r="C23" s="285"/>
      <c r="D23" s="285"/>
      <c r="E23" s="285"/>
      <c r="F23" s="398"/>
      <c r="H23" s="285"/>
      <c r="I23" s="285"/>
      <c r="J23" s="285"/>
      <c r="K23" s="398"/>
    </row>
    <row r="24" spans="1:11" s="444" customFormat="1" ht="11.25" x14ac:dyDescent="0.2">
      <c r="A24" s="292" t="s">
        <v>109</v>
      </c>
      <c r="B24" s="292" t="s">
        <v>287</v>
      </c>
      <c r="C24" s="279">
        <v>2507</v>
      </c>
      <c r="D24" s="279">
        <v>45631</v>
      </c>
      <c r="E24" s="279">
        <v>1512</v>
      </c>
      <c r="F24" s="404">
        <v>49650</v>
      </c>
      <c r="H24" s="279">
        <v>10796</v>
      </c>
      <c r="I24" s="279">
        <v>43912</v>
      </c>
      <c r="J24" s="279">
        <v>567</v>
      </c>
      <c r="K24" s="404">
        <v>55275</v>
      </c>
    </row>
    <row r="25" spans="1:11" s="444" customFormat="1" ht="12" thickBot="1" x14ac:dyDescent="0.25">
      <c r="A25" s="423" t="s">
        <v>110</v>
      </c>
      <c r="B25" s="423" t="s">
        <v>288</v>
      </c>
      <c r="C25" s="278">
        <v>-2070</v>
      </c>
      <c r="D25" s="278">
        <v>-33046</v>
      </c>
      <c r="E25" s="278" t="s">
        <v>572</v>
      </c>
      <c r="F25" s="398">
        <v>-35116</v>
      </c>
      <c r="H25" s="278">
        <v>-3835</v>
      </c>
      <c r="I25" s="278">
        <v>-32671</v>
      </c>
      <c r="J25" s="278" t="s">
        <v>572</v>
      </c>
      <c r="K25" s="831">
        <v>-36506</v>
      </c>
    </row>
    <row r="26" spans="1:11" s="444" customFormat="1" ht="11.25" x14ac:dyDescent="0.2">
      <c r="A26" s="995" t="s">
        <v>111</v>
      </c>
      <c r="B26" s="995" t="s">
        <v>289</v>
      </c>
      <c r="C26" s="996">
        <v>437</v>
      </c>
      <c r="D26" s="996">
        <v>12585</v>
      </c>
      <c r="E26" s="996">
        <v>1512</v>
      </c>
      <c r="F26" s="996">
        <v>14534</v>
      </c>
      <c r="H26" s="996">
        <v>6961</v>
      </c>
      <c r="I26" s="996">
        <v>11241</v>
      </c>
      <c r="J26" s="996">
        <v>567</v>
      </c>
      <c r="K26" s="996">
        <v>18769</v>
      </c>
    </row>
    <row r="27" spans="1:11" s="444" customFormat="1" ht="11.25" x14ac:dyDescent="0.2"/>
    <row r="28" spans="1:11" s="444" customFormat="1" ht="11.25" x14ac:dyDescent="0.2">
      <c r="A28" s="1263" t="s">
        <v>962</v>
      </c>
      <c r="B28" s="1263" t="s">
        <v>963</v>
      </c>
      <c r="C28" s="285"/>
      <c r="D28" s="285"/>
      <c r="E28" s="285"/>
      <c r="F28" s="398"/>
      <c r="H28" s="285"/>
      <c r="I28" s="285"/>
      <c r="J28" s="285"/>
      <c r="K28" s="398"/>
    </row>
    <row r="29" spans="1:11" s="444" customFormat="1" ht="11.25" x14ac:dyDescent="0.2">
      <c r="A29" s="292" t="s">
        <v>112</v>
      </c>
      <c r="B29" s="292" t="s">
        <v>290</v>
      </c>
      <c r="C29" s="314" t="s">
        <v>572</v>
      </c>
      <c r="D29" s="279">
        <v>468</v>
      </c>
      <c r="E29" s="279">
        <f>2113+7</f>
        <v>2120</v>
      </c>
      <c r="F29" s="404">
        <f>SUM(C29:E29)</f>
        <v>2588</v>
      </c>
      <c r="H29" s="314" t="s">
        <v>572</v>
      </c>
      <c r="I29" s="279">
        <v>468</v>
      </c>
      <c r="J29" s="279">
        <v>2063</v>
      </c>
      <c r="K29" s="404">
        <f t="shared" ref="K29:K33" si="0">SUM(H29:J29)</f>
        <v>2531</v>
      </c>
    </row>
    <row r="30" spans="1:11" s="444" customFormat="1" ht="11.25" x14ac:dyDescent="0.2">
      <c r="A30" s="389" t="s">
        <v>118</v>
      </c>
      <c r="B30" s="389" t="s">
        <v>300</v>
      </c>
      <c r="C30" s="324" t="s">
        <v>572</v>
      </c>
      <c r="D30" s="324">
        <v>3536</v>
      </c>
      <c r="E30" s="324">
        <f>-3529-7</f>
        <v>-3536</v>
      </c>
      <c r="F30" s="888" t="s">
        <v>572</v>
      </c>
      <c r="H30" s="282" t="s">
        <v>572</v>
      </c>
      <c r="I30" s="282">
        <v>2589</v>
      </c>
      <c r="J30" s="282">
        <v>-2589</v>
      </c>
      <c r="K30" s="404" t="s">
        <v>572</v>
      </c>
    </row>
    <row r="31" spans="1:11" s="444" customFormat="1" ht="11.25" x14ac:dyDescent="0.2">
      <c r="A31" s="389" t="s">
        <v>113</v>
      </c>
      <c r="B31" s="389" t="s">
        <v>291</v>
      </c>
      <c r="C31" s="324">
        <v>-212</v>
      </c>
      <c r="D31" s="324" t="s">
        <v>572</v>
      </c>
      <c r="E31" s="324" t="s">
        <v>572</v>
      </c>
      <c r="F31" s="888">
        <f t="shared" ref="F31:F32" si="1">SUM(C31:E31)</f>
        <v>-212</v>
      </c>
      <c r="H31" s="282">
        <v>-656</v>
      </c>
      <c r="I31" s="282" t="s">
        <v>572</v>
      </c>
      <c r="J31" s="282" t="s">
        <v>572</v>
      </c>
      <c r="K31" s="404">
        <f t="shared" si="0"/>
        <v>-656</v>
      </c>
    </row>
    <row r="32" spans="1:11" s="444" customFormat="1" ht="12" thickBot="1" x14ac:dyDescent="0.25">
      <c r="A32" s="423" t="s">
        <v>114</v>
      </c>
      <c r="B32" s="423" t="s">
        <v>292</v>
      </c>
      <c r="C32" s="313" t="s">
        <v>572</v>
      </c>
      <c r="D32" s="313">
        <v>-3497</v>
      </c>
      <c r="E32" s="313" t="s">
        <v>572</v>
      </c>
      <c r="F32" s="323">
        <f t="shared" si="1"/>
        <v>-3497</v>
      </c>
      <c r="H32" s="278" t="s">
        <v>572</v>
      </c>
      <c r="I32" s="278">
        <v>-3183</v>
      </c>
      <c r="J32" s="278" t="s">
        <v>572</v>
      </c>
      <c r="K32" s="398">
        <f t="shared" si="0"/>
        <v>-3183</v>
      </c>
    </row>
    <row r="33" spans="1:11" s="444" customFormat="1" ht="11.25" x14ac:dyDescent="0.2">
      <c r="A33" s="997" t="s">
        <v>965</v>
      </c>
      <c r="B33" s="997" t="s">
        <v>293</v>
      </c>
      <c r="C33" s="1000">
        <f>SUM(C26:C32)</f>
        <v>225</v>
      </c>
      <c r="D33" s="1000">
        <f>SUM(D26:D32)</f>
        <v>13092</v>
      </c>
      <c r="E33" s="1000">
        <f t="shared" ref="E33" si="2">SUM(E26:E32)</f>
        <v>96</v>
      </c>
      <c r="F33" s="1000">
        <f>SUM(F26:F32)</f>
        <v>13413</v>
      </c>
      <c r="H33" s="899">
        <f>SUM(H26:H32)</f>
        <v>6305</v>
      </c>
      <c r="I33" s="899">
        <f t="shared" ref="I33:J33" si="3">SUM(I26:I32)</f>
        <v>11115</v>
      </c>
      <c r="J33" s="899">
        <f t="shared" si="3"/>
        <v>41</v>
      </c>
      <c r="K33" s="899">
        <f t="shared" si="0"/>
        <v>17461</v>
      </c>
    </row>
    <row r="34" spans="1:11" s="444" customFormat="1" ht="11.25" x14ac:dyDescent="0.2">
      <c r="A34" s="445"/>
      <c r="B34" s="445"/>
      <c r="C34" s="285"/>
      <c r="D34" s="285"/>
      <c r="E34" s="1136"/>
      <c r="F34" s="398"/>
      <c r="H34" s="285"/>
      <c r="I34" s="285"/>
      <c r="J34" s="285"/>
      <c r="K34" s="398"/>
    </row>
    <row r="35" spans="1:11" s="444" customFormat="1" ht="11.25" x14ac:dyDescent="0.2">
      <c r="A35" s="1263" t="s">
        <v>955</v>
      </c>
      <c r="B35" s="1263" t="s">
        <v>956</v>
      </c>
      <c r="C35" s="285"/>
      <c r="D35" s="285"/>
      <c r="E35" s="1136"/>
      <c r="F35" s="398"/>
      <c r="H35" s="285"/>
      <c r="I35" s="285"/>
      <c r="J35" s="285"/>
      <c r="K35" s="398"/>
    </row>
    <row r="36" spans="1:11" s="444" customFormat="1" ht="11.25" x14ac:dyDescent="0.2">
      <c r="A36" s="292" t="s">
        <v>109</v>
      </c>
      <c r="B36" s="292" t="s">
        <v>287</v>
      </c>
      <c r="C36" s="314">
        <f>C33</f>
        <v>225</v>
      </c>
      <c r="D36" s="314">
        <f>D24+D29+D30</f>
        <v>49635</v>
      </c>
      <c r="E36" s="314">
        <f>E24+E29+E30</f>
        <v>96</v>
      </c>
      <c r="F36" s="888">
        <f>SUM(C36:E36)</f>
        <v>49956</v>
      </c>
      <c r="H36" s="279">
        <f>H33</f>
        <v>6305</v>
      </c>
      <c r="I36" s="279">
        <f>I24+I29+I30</f>
        <v>46969</v>
      </c>
      <c r="J36" s="279">
        <f>J24+J29+J30</f>
        <v>41</v>
      </c>
      <c r="K36" s="404">
        <f t="shared" ref="K36:K38" si="4">SUM(H36:J36)</f>
        <v>53315</v>
      </c>
    </row>
    <row r="37" spans="1:11" s="444" customFormat="1" ht="12" thickBot="1" x14ac:dyDescent="0.25">
      <c r="A37" s="423" t="s">
        <v>110</v>
      </c>
      <c r="B37" s="423" t="s">
        <v>288</v>
      </c>
      <c r="C37" s="313" t="s">
        <v>572</v>
      </c>
      <c r="D37" s="313">
        <f>D25+D32</f>
        <v>-36543</v>
      </c>
      <c r="E37" s="313" t="s">
        <v>572</v>
      </c>
      <c r="F37" s="323">
        <f>SUM(D37:E37)</f>
        <v>-36543</v>
      </c>
      <c r="H37" s="278" t="s">
        <v>572</v>
      </c>
      <c r="I37" s="278">
        <f>I25+I32</f>
        <v>-35854</v>
      </c>
      <c r="J37" s="278" t="s">
        <v>572</v>
      </c>
      <c r="K37" s="398">
        <f t="shared" si="4"/>
        <v>-35854</v>
      </c>
    </row>
    <row r="38" spans="1:11" s="444" customFormat="1" ht="12" thickBot="1" x14ac:dyDescent="0.25">
      <c r="A38" s="939" t="s">
        <v>111</v>
      </c>
      <c r="B38" s="939" t="s">
        <v>289</v>
      </c>
      <c r="C38" s="1133">
        <f>C33</f>
        <v>225</v>
      </c>
      <c r="D38" s="1133">
        <f>SUM(D36:D37)</f>
        <v>13092</v>
      </c>
      <c r="E38" s="1133">
        <f>SUM(E36:E37)</f>
        <v>96</v>
      </c>
      <c r="F38" s="1133">
        <f>SUM(F36:F37)</f>
        <v>13413</v>
      </c>
      <c r="H38" s="948">
        <f>H33</f>
        <v>6305</v>
      </c>
      <c r="I38" s="948">
        <f>SUM(I36:I37)</f>
        <v>11115</v>
      </c>
      <c r="J38" s="948">
        <f>SUM(J36:J37)</f>
        <v>41</v>
      </c>
      <c r="K38" s="948">
        <f t="shared" si="4"/>
        <v>17461</v>
      </c>
    </row>
    <row r="39" spans="1:11" s="447" customFormat="1" x14ac:dyDescent="0.25">
      <c r="A39" s="446"/>
      <c r="B39" s="446"/>
      <c r="F39" s="448"/>
    </row>
    <row r="40" spans="1:11" s="449" customFormat="1" x14ac:dyDescent="0.2">
      <c r="D40" s="28"/>
      <c r="E40" s="28"/>
      <c r="F40" s="450"/>
    </row>
    <row r="41" spans="1:11" s="449" customFormat="1" thickBot="1" x14ac:dyDescent="0.3">
      <c r="A41" s="1285" t="s">
        <v>1626</v>
      </c>
      <c r="B41" s="1286" t="s">
        <v>791</v>
      </c>
      <c r="C41" s="1137"/>
      <c r="D41" s="450"/>
      <c r="E41" s="450"/>
      <c r="F41" s="450"/>
      <c r="I41" s="441"/>
    </row>
    <row r="42" spans="1:11" s="449" customFormat="1" ht="21.75" customHeight="1" thickBot="1" x14ac:dyDescent="0.25">
      <c r="A42" s="1138"/>
      <c r="B42" s="1070"/>
      <c r="C42" s="1071"/>
      <c r="D42" s="1071"/>
      <c r="E42" s="1519" t="s">
        <v>949</v>
      </c>
      <c r="F42" s="1519"/>
      <c r="H42" s="1520" t="s">
        <v>1674</v>
      </c>
      <c r="I42" s="1520"/>
    </row>
    <row r="43" spans="1:11" s="447" customFormat="1" ht="15.75" thickBot="1" x14ac:dyDescent="0.3">
      <c r="A43" s="1072"/>
      <c r="B43" s="1072"/>
      <c r="C43" s="1072"/>
      <c r="D43" s="1072"/>
      <c r="E43" s="998">
        <v>2017</v>
      </c>
      <c r="F43" s="459">
        <v>2016</v>
      </c>
      <c r="G43" s="448"/>
      <c r="H43" s="998">
        <v>2017</v>
      </c>
      <c r="I43" s="459">
        <v>2016</v>
      </c>
      <c r="J43" s="448"/>
    </row>
    <row r="44" spans="1:11" s="447" customFormat="1" ht="32.25" customHeight="1" thickBot="1" x14ac:dyDescent="0.3">
      <c r="A44" s="1073"/>
      <c r="B44" s="1073"/>
      <c r="C44" s="1073"/>
      <c r="D44" s="1073"/>
      <c r="E44" s="999" t="s">
        <v>297</v>
      </c>
      <c r="F44" s="451" t="s">
        <v>297</v>
      </c>
      <c r="G44" s="448"/>
      <c r="H44" s="999" t="s">
        <v>297</v>
      </c>
      <c r="I44" s="451" t="s">
        <v>297</v>
      </c>
      <c r="J44" s="448"/>
    </row>
    <row r="45" spans="1:11" s="447" customFormat="1" ht="12.2" customHeight="1" x14ac:dyDescent="0.25">
      <c r="A45" s="1074" t="s">
        <v>103</v>
      </c>
      <c r="B45" s="1074" t="s">
        <v>271</v>
      </c>
      <c r="C45" s="1074"/>
      <c r="D45" s="1074"/>
      <c r="E45" s="996">
        <v>795153</v>
      </c>
      <c r="F45" s="452">
        <v>1516203</v>
      </c>
      <c r="G45" s="448"/>
      <c r="H45" s="996">
        <v>546409</v>
      </c>
      <c r="I45" s="452">
        <v>1220761</v>
      </c>
      <c r="J45" s="448"/>
    </row>
    <row r="46" spans="1:11" s="447" customFormat="1" ht="12.2" customHeight="1" x14ac:dyDescent="0.25">
      <c r="A46" s="1075" t="s">
        <v>666</v>
      </c>
      <c r="B46" s="1075" t="s">
        <v>294</v>
      </c>
      <c r="C46" s="1075"/>
      <c r="D46" s="1075"/>
      <c r="E46" s="933">
        <v>314160</v>
      </c>
      <c r="F46" s="282">
        <v>364488</v>
      </c>
      <c r="G46" s="448"/>
      <c r="H46" s="933">
        <v>295942</v>
      </c>
      <c r="I46" s="282">
        <v>343330</v>
      </c>
      <c r="J46" s="448"/>
    </row>
    <row r="47" spans="1:11" s="447" customFormat="1" ht="12.2" customHeight="1" x14ac:dyDescent="0.25">
      <c r="A47" s="1075" t="s">
        <v>115</v>
      </c>
      <c r="B47" s="1075" t="s">
        <v>295</v>
      </c>
      <c r="C47" s="1075"/>
      <c r="D47" s="1075"/>
      <c r="E47" s="933" t="s">
        <v>572</v>
      </c>
      <c r="F47" s="282">
        <v>117400</v>
      </c>
      <c r="G47" s="448"/>
      <c r="H47" s="933" t="s">
        <v>572</v>
      </c>
      <c r="I47" s="282">
        <v>117400</v>
      </c>
      <c r="J47" s="448"/>
    </row>
    <row r="48" spans="1:11" s="447" customFormat="1" ht="12.2" customHeight="1" x14ac:dyDescent="0.25">
      <c r="A48" s="1075" t="s">
        <v>116</v>
      </c>
      <c r="B48" s="1075" t="s">
        <v>296</v>
      </c>
      <c r="C48" s="1075"/>
      <c r="D48" s="1075"/>
      <c r="E48" s="933">
        <v>-871982</v>
      </c>
      <c r="F48" s="282">
        <v>-1129538</v>
      </c>
      <c r="G48" s="448"/>
      <c r="H48" s="933">
        <v>-855429</v>
      </c>
      <c r="I48" s="282">
        <v>-1112682</v>
      </c>
      <c r="J48" s="448"/>
    </row>
    <row r="49" spans="1:10" s="447" customFormat="1" ht="12.2" customHeight="1" thickBot="1" x14ac:dyDescent="0.3">
      <c r="A49" s="1076" t="s">
        <v>742</v>
      </c>
      <c r="B49" s="1076" t="s">
        <v>743</v>
      </c>
      <c r="C49" s="1076"/>
      <c r="D49" s="1076"/>
      <c r="E49" s="936">
        <v>-30700</v>
      </c>
      <c r="F49" s="278">
        <v>-73400</v>
      </c>
      <c r="G49" s="448"/>
      <c r="H49" s="936">
        <v>-700</v>
      </c>
      <c r="I49" s="278">
        <v>-22400</v>
      </c>
      <c r="J49" s="448"/>
    </row>
    <row r="50" spans="1:10" s="447" customFormat="1" ht="12.2" customHeight="1" thickBot="1" x14ac:dyDescent="0.3">
      <c r="A50" s="1077" t="s">
        <v>105</v>
      </c>
      <c r="B50" s="1077" t="s">
        <v>273</v>
      </c>
      <c r="C50" s="1077"/>
      <c r="D50" s="1077"/>
      <c r="E50" s="948">
        <v>206631</v>
      </c>
      <c r="F50" s="743">
        <v>795153</v>
      </c>
      <c r="G50" s="448"/>
      <c r="H50" s="948">
        <v>-13778</v>
      </c>
      <c r="I50" s="743">
        <v>546409</v>
      </c>
      <c r="J50" s="448"/>
    </row>
    <row r="51" spans="1:10" s="447" customFormat="1" x14ac:dyDescent="0.25">
      <c r="A51" s="453"/>
      <c r="B51" s="453"/>
      <c r="F51" s="448"/>
    </row>
  </sheetData>
  <sheetProtection algorithmName="SHA-512" hashValue="xcbGjmaWZxB1cmCJPfm0rPSmpHAV0wWpatuNHSVfKj5eTkFklfT2P8OYBXRzXsnzYVRFyay8rNc7EmlstiL6yA==" saltValue="6vIE/Kx/HiZfcNlwAuSGQw==" spinCount="100000" sheet="1" objects="1" scenarios="1"/>
  <mergeCells count="4">
    <mergeCell ref="C6:F6"/>
    <mergeCell ref="H6:K6"/>
    <mergeCell ref="E42:F42"/>
    <mergeCell ref="H42:I42"/>
  </mergeCells>
  <pageMargins left="0.70866141732283472" right="0.70866141732283472" top="0.74803149606299213" bottom="0.74803149606299213" header="0.31496062992125984" footer="0.31496062992125984"/>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showGridLines="0" zoomScaleNormal="100" workbookViewId="0">
      <pane ySplit="3" topLeftCell="A4" activePane="bottomLeft" state="frozen"/>
      <selection pane="bottomLeft" activeCell="A4" sqref="A4"/>
    </sheetView>
  </sheetViews>
  <sheetFormatPr defaultColWidth="9.140625" defaultRowHeight="15" outlineLevelRow="1" outlineLevelCol="1" x14ac:dyDescent="0.25"/>
  <cols>
    <col min="1" max="1" width="43.28515625" style="50" customWidth="1"/>
    <col min="2" max="2" width="44.28515625" style="50" customWidth="1" outlineLevel="1"/>
    <col min="3" max="3" width="12.5703125" style="50" customWidth="1"/>
    <col min="4" max="4" width="13.28515625" style="50" customWidth="1"/>
    <col min="5" max="5" width="13.42578125" style="50" customWidth="1"/>
    <col min="6" max="6" width="12" style="50" customWidth="1"/>
    <col min="7" max="7" width="11" style="50" customWidth="1"/>
    <col min="8" max="8" width="10.28515625" style="50" customWidth="1"/>
    <col min="9" max="9" width="10" style="50" customWidth="1"/>
    <col min="10" max="10" width="12.28515625" style="50" customWidth="1"/>
    <col min="11" max="11" width="11.28515625" style="50" customWidth="1"/>
    <col min="12" max="12" width="12.7109375" style="50" customWidth="1"/>
    <col min="13" max="13" width="12.28515625" style="50" customWidth="1"/>
    <col min="14" max="15" width="13.42578125" style="50" customWidth="1"/>
    <col min="16" max="17" width="11.42578125" style="50" customWidth="1"/>
    <col min="18" max="16384" width="9.140625" style="50"/>
  </cols>
  <sheetData>
    <row r="1" spans="1:13" x14ac:dyDescent="0.25">
      <c r="A1" s="60" t="s">
        <v>967</v>
      </c>
      <c r="B1" s="60" t="s">
        <v>968</v>
      </c>
    </row>
    <row r="2" spans="1:13" x14ac:dyDescent="0.25">
      <c r="A2" s="60" t="s">
        <v>970</v>
      </c>
      <c r="B2" s="60" t="s">
        <v>969</v>
      </c>
    </row>
    <row r="3" spans="1:13" s="61" customFormat="1" ht="18.75" x14ac:dyDescent="0.25">
      <c r="A3" s="77" t="s">
        <v>966</v>
      </c>
      <c r="B3" s="78" t="s">
        <v>303</v>
      </c>
    </row>
    <row r="4" spans="1:13" x14ac:dyDescent="0.25">
      <c r="A4" s="64"/>
      <c r="B4" s="64"/>
    </row>
    <row r="5" spans="1:13" s="65" customFormat="1" ht="13.5" thickBot="1" x14ac:dyDescent="0.25">
      <c r="A5" s="64" t="s">
        <v>117</v>
      </c>
      <c r="B5" s="64" t="s">
        <v>487</v>
      </c>
      <c r="M5" s="443" t="s">
        <v>51</v>
      </c>
    </row>
    <row r="6" spans="1:13" s="65" customFormat="1" ht="21" customHeight="1" thickBot="1" x14ac:dyDescent="0.3">
      <c r="A6" s="485"/>
      <c r="B6" s="485"/>
      <c r="C6" s="1524" t="s">
        <v>949</v>
      </c>
      <c r="D6" s="1524"/>
      <c r="E6" s="1524"/>
      <c r="F6" s="1524"/>
      <c r="G6" s="1524"/>
      <c r="H6" s="494"/>
      <c r="I6" s="1524" t="s">
        <v>1403</v>
      </c>
      <c r="J6" s="1524"/>
      <c r="K6" s="1524"/>
      <c r="L6" s="1524"/>
      <c r="M6" s="1524"/>
    </row>
    <row r="7" spans="1:13" s="305" customFormat="1" ht="51" customHeight="1" thickBot="1" x14ac:dyDescent="0.3">
      <c r="A7" s="101"/>
      <c r="B7" s="101"/>
      <c r="C7" s="1287" t="s">
        <v>827</v>
      </c>
      <c r="D7" s="1287" t="s">
        <v>812</v>
      </c>
      <c r="E7" s="1287" t="s">
        <v>735</v>
      </c>
      <c r="F7" s="1287" t="s">
        <v>883</v>
      </c>
      <c r="G7" s="1287" t="s">
        <v>884</v>
      </c>
      <c r="I7" s="1287" t="s">
        <v>827</v>
      </c>
      <c r="J7" s="1287" t="s">
        <v>812</v>
      </c>
      <c r="K7" s="1287" t="s">
        <v>735</v>
      </c>
      <c r="L7" s="1287" t="s">
        <v>883</v>
      </c>
      <c r="M7" s="1287" t="s">
        <v>884</v>
      </c>
    </row>
    <row r="8" spans="1:13" s="305" customFormat="1" ht="45" customHeight="1" outlineLevel="1" thickBot="1" x14ac:dyDescent="0.3">
      <c r="A8" s="486"/>
      <c r="B8" s="486"/>
      <c r="C8" s="1287" t="s">
        <v>828</v>
      </c>
      <c r="D8" s="1287" t="s">
        <v>305</v>
      </c>
      <c r="E8" s="1287" t="s">
        <v>882</v>
      </c>
      <c r="F8" s="1287" t="s">
        <v>814</v>
      </c>
      <c r="G8" s="1287" t="s">
        <v>813</v>
      </c>
      <c r="I8" s="1287" t="s">
        <v>828</v>
      </c>
      <c r="J8" s="1287" t="s">
        <v>305</v>
      </c>
      <c r="K8" s="1287" t="s">
        <v>882</v>
      </c>
      <c r="L8" s="1287" t="s">
        <v>814</v>
      </c>
      <c r="M8" s="1287" t="s">
        <v>813</v>
      </c>
    </row>
    <row r="9" spans="1:13" s="305" customFormat="1" x14ac:dyDescent="0.25">
      <c r="A9" s="100"/>
      <c r="B9" s="100"/>
      <c r="C9" s="267"/>
      <c r="D9" s="267"/>
      <c r="E9" s="267"/>
      <c r="F9" s="484"/>
      <c r="G9" s="267"/>
      <c r="I9" s="101"/>
      <c r="J9" s="101"/>
      <c r="K9" s="101"/>
      <c r="L9" s="100"/>
      <c r="M9" s="101"/>
    </row>
    <row r="10" spans="1:13" s="305" customFormat="1" x14ac:dyDescent="0.25">
      <c r="A10" s="100"/>
      <c r="B10" s="100"/>
      <c r="C10" s="101"/>
      <c r="D10" s="101"/>
      <c r="E10" s="101"/>
      <c r="F10" s="100"/>
      <c r="G10" s="101"/>
      <c r="I10" s="101"/>
      <c r="J10" s="101"/>
      <c r="K10" s="101"/>
      <c r="L10" s="100"/>
      <c r="M10" s="101"/>
    </row>
    <row r="11" spans="1:13" s="305" customFormat="1" x14ac:dyDescent="0.25">
      <c r="A11" s="1263" t="s">
        <v>732</v>
      </c>
      <c r="B11" s="1263" t="s">
        <v>799</v>
      </c>
      <c r="C11" s="398"/>
      <c r="D11" s="398"/>
      <c r="E11" s="398"/>
      <c r="F11" s="460"/>
      <c r="G11" s="398"/>
      <c r="I11" s="398"/>
      <c r="J11" s="398"/>
      <c r="K11" s="398"/>
      <c r="L11" s="460"/>
      <c r="M11" s="398"/>
    </row>
    <row r="12" spans="1:13" s="305" customFormat="1" x14ac:dyDescent="0.25">
      <c r="A12" s="292" t="s">
        <v>109</v>
      </c>
      <c r="B12" s="292" t="s">
        <v>298</v>
      </c>
      <c r="C12" s="418">
        <v>4469448</v>
      </c>
      <c r="D12" s="418">
        <v>2072520</v>
      </c>
      <c r="E12" s="418">
        <v>173118</v>
      </c>
      <c r="F12" s="418">
        <v>93858</v>
      </c>
      <c r="G12" s="546">
        <v>6808944</v>
      </c>
      <c r="H12" s="448"/>
      <c r="I12" s="418">
        <v>1835378</v>
      </c>
      <c r="J12" s="418">
        <v>931181</v>
      </c>
      <c r="K12" s="418">
        <v>148126</v>
      </c>
      <c r="L12" s="712">
        <v>68046</v>
      </c>
      <c r="M12" s="546">
        <v>2982731</v>
      </c>
    </row>
    <row r="13" spans="1:13" s="305" customFormat="1" ht="15.75" thickBot="1" x14ac:dyDescent="0.3">
      <c r="A13" s="423" t="s">
        <v>815</v>
      </c>
      <c r="B13" s="423" t="s">
        <v>299</v>
      </c>
      <c r="C13" s="219">
        <v>-2455220</v>
      </c>
      <c r="D13" s="219">
        <v>-1149878</v>
      </c>
      <c r="E13" s="219">
        <v>-121484</v>
      </c>
      <c r="F13" s="219">
        <v>-6106</v>
      </c>
      <c r="G13" s="922">
        <v>-3732688</v>
      </c>
      <c r="H13" s="448"/>
      <c r="I13" s="219">
        <v>-976255</v>
      </c>
      <c r="J13" s="219">
        <v>-546822</v>
      </c>
      <c r="K13" s="219">
        <v>-109102</v>
      </c>
      <c r="L13" s="738">
        <v>-5882</v>
      </c>
      <c r="M13" s="922">
        <v>-1638061</v>
      </c>
    </row>
    <row r="14" spans="1:13" s="305" customFormat="1" x14ac:dyDescent="0.25">
      <c r="A14" s="995" t="s">
        <v>111</v>
      </c>
      <c r="B14" s="995" t="s">
        <v>289</v>
      </c>
      <c r="C14" s="1037">
        <v>2014228</v>
      </c>
      <c r="D14" s="1037">
        <v>922642</v>
      </c>
      <c r="E14" s="1037">
        <v>51634</v>
      </c>
      <c r="F14" s="1037">
        <v>87752</v>
      </c>
      <c r="G14" s="1037">
        <v>3076256</v>
      </c>
      <c r="H14" s="448"/>
      <c r="I14" s="1037">
        <v>859123</v>
      </c>
      <c r="J14" s="1037">
        <v>384359</v>
      </c>
      <c r="K14" s="1037">
        <v>39024</v>
      </c>
      <c r="L14" s="1037">
        <v>62164</v>
      </c>
      <c r="M14" s="1037">
        <v>1344670</v>
      </c>
    </row>
    <row r="15" spans="1:13" s="305" customFormat="1" x14ac:dyDescent="0.25">
      <c r="A15" s="465"/>
      <c r="B15" s="465"/>
      <c r="C15" s="129"/>
      <c r="D15" s="129"/>
      <c r="E15" s="129"/>
      <c r="F15" s="129"/>
      <c r="G15" s="129"/>
      <c r="I15" s="398"/>
      <c r="J15" s="398"/>
      <c r="K15" s="398"/>
      <c r="L15" s="285"/>
      <c r="M15" s="398"/>
    </row>
    <row r="16" spans="1:13" s="305" customFormat="1" x14ac:dyDescent="0.25">
      <c r="A16" s="1263" t="s">
        <v>797</v>
      </c>
      <c r="B16" s="1263" t="s">
        <v>798</v>
      </c>
      <c r="C16" s="398"/>
      <c r="D16" s="398"/>
      <c r="E16" s="398"/>
      <c r="F16" s="398"/>
      <c r="G16" s="398"/>
      <c r="I16" s="398"/>
      <c r="J16" s="398"/>
      <c r="K16" s="398"/>
      <c r="L16" s="285"/>
      <c r="M16" s="398"/>
    </row>
    <row r="17" spans="1:13" s="305" customFormat="1" ht="22.5" x14ac:dyDescent="0.2">
      <c r="A17" s="292" t="s">
        <v>1397</v>
      </c>
      <c r="B17" s="419" t="s">
        <v>1398</v>
      </c>
      <c r="C17" s="418">
        <v>303933</v>
      </c>
      <c r="D17" s="418">
        <v>12954</v>
      </c>
      <c r="E17" s="418">
        <v>154</v>
      </c>
      <c r="F17" s="712" t="s">
        <v>572</v>
      </c>
      <c r="G17" s="546">
        <v>317041</v>
      </c>
      <c r="I17" s="418" t="s">
        <v>572</v>
      </c>
      <c r="J17" s="418" t="s">
        <v>572</v>
      </c>
      <c r="K17" s="418" t="s">
        <v>572</v>
      </c>
      <c r="L17" s="712" t="s">
        <v>572</v>
      </c>
      <c r="M17" s="546" t="s">
        <v>572</v>
      </c>
    </row>
    <row r="18" spans="1:13" s="305" customFormat="1" x14ac:dyDescent="0.2">
      <c r="A18" s="292" t="s">
        <v>1399</v>
      </c>
      <c r="B18" s="419" t="s">
        <v>1400</v>
      </c>
      <c r="C18" s="418">
        <v>-25816</v>
      </c>
      <c r="D18" s="418">
        <v>-9909</v>
      </c>
      <c r="E18" s="418">
        <v>-49</v>
      </c>
      <c r="F18" s="712" t="s">
        <v>572</v>
      </c>
      <c r="G18" s="546">
        <v>-35774</v>
      </c>
      <c r="I18" s="418" t="s">
        <v>572</v>
      </c>
      <c r="J18" s="418" t="s">
        <v>572</v>
      </c>
      <c r="K18" s="418" t="s">
        <v>572</v>
      </c>
      <c r="L18" s="712" t="s">
        <v>572</v>
      </c>
      <c r="M18" s="546" t="s">
        <v>572</v>
      </c>
    </row>
    <row r="19" spans="1:13" s="305" customFormat="1" ht="15.75" customHeight="1" x14ac:dyDescent="0.2">
      <c r="A19" s="389" t="s">
        <v>112</v>
      </c>
      <c r="B19" s="389" t="s">
        <v>290</v>
      </c>
      <c r="C19" s="187" t="s">
        <v>572</v>
      </c>
      <c r="D19" s="187" t="s">
        <v>572</v>
      </c>
      <c r="E19" s="187" t="s">
        <v>572</v>
      </c>
      <c r="F19" s="283">
        <v>196838</v>
      </c>
      <c r="G19" s="395">
        <f t="shared" ref="G19:G20" si="0">SUM(C19:F19)</f>
        <v>196838</v>
      </c>
      <c r="I19" s="187" t="s">
        <v>572</v>
      </c>
      <c r="J19" s="187" t="s">
        <v>572</v>
      </c>
      <c r="K19" s="187" t="s">
        <v>572</v>
      </c>
      <c r="L19" s="283">
        <f>73196</f>
        <v>73196</v>
      </c>
      <c r="M19" s="395">
        <f>SUM(I19:L19)</f>
        <v>73196</v>
      </c>
    </row>
    <row r="20" spans="1:13" s="305" customFormat="1" x14ac:dyDescent="0.2">
      <c r="A20" s="389" t="s">
        <v>885</v>
      </c>
      <c r="B20" s="389" t="s">
        <v>886</v>
      </c>
      <c r="C20" s="187">
        <v>177</v>
      </c>
      <c r="D20" s="187">
        <v>7</v>
      </c>
      <c r="E20" s="187" t="s">
        <v>572</v>
      </c>
      <c r="F20" s="283" t="s">
        <v>572</v>
      </c>
      <c r="G20" s="395">
        <f t="shared" si="0"/>
        <v>184</v>
      </c>
      <c r="I20" s="187">
        <v>177</v>
      </c>
      <c r="J20" s="187">
        <v>7</v>
      </c>
      <c r="K20" s="187" t="s">
        <v>572</v>
      </c>
      <c r="L20" s="283" t="s">
        <v>572</v>
      </c>
      <c r="M20" s="395">
        <f t="shared" ref="M20:M25" si="1">SUM(I20:L20)</f>
        <v>184</v>
      </c>
    </row>
    <row r="21" spans="1:13" s="305" customFormat="1" x14ac:dyDescent="0.2">
      <c r="A21" s="389" t="s">
        <v>118</v>
      </c>
      <c r="B21" s="389" t="s">
        <v>300</v>
      </c>
      <c r="C21" s="187">
        <v>72299</v>
      </c>
      <c r="D21" s="187">
        <v>39680</v>
      </c>
      <c r="E21" s="187">
        <v>24784</v>
      </c>
      <c r="F21" s="283">
        <f>-SUM(C21:E21)</f>
        <v>-136763</v>
      </c>
      <c r="G21" s="395" t="s">
        <v>572</v>
      </c>
      <c r="I21" s="187">
        <v>4231</v>
      </c>
      <c r="J21" s="187">
        <v>5562</v>
      </c>
      <c r="K21" s="187">
        <f>3474+8630</f>
        <v>12104</v>
      </c>
      <c r="L21" s="283">
        <f>-SUM(I21:K21)+48</f>
        <v>-21849</v>
      </c>
      <c r="M21" s="395">
        <f t="shared" si="1"/>
        <v>48</v>
      </c>
    </row>
    <row r="22" spans="1:13" s="305" customFormat="1" x14ac:dyDescent="0.2">
      <c r="A22" s="389" t="s">
        <v>533</v>
      </c>
      <c r="B22" s="389" t="s">
        <v>534</v>
      </c>
      <c r="C22" s="187">
        <v>-214</v>
      </c>
      <c r="D22" s="187" t="s">
        <v>572</v>
      </c>
      <c r="E22" s="187" t="s">
        <v>572</v>
      </c>
      <c r="F22" s="283" t="s">
        <v>572</v>
      </c>
      <c r="G22" s="395">
        <v>-214</v>
      </c>
      <c r="I22" s="187">
        <v>-195</v>
      </c>
      <c r="J22" s="187" t="s">
        <v>572</v>
      </c>
      <c r="K22" s="187" t="s">
        <v>572</v>
      </c>
      <c r="L22" s="283" t="s">
        <v>572</v>
      </c>
      <c r="M22" s="395">
        <f t="shared" si="1"/>
        <v>-195</v>
      </c>
    </row>
    <row r="23" spans="1:13" s="305" customFormat="1" x14ac:dyDescent="0.2">
      <c r="A23" s="389" t="s">
        <v>113</v>
      </c>
      <c r="B23" s="389" t="s">
        <v>291</v>
      </c>
      <c r="C23" s="187">
        <v>-2819</v>
      </c>
      <c r="D23" s="187">
        <v>-1987</v>
      </c>
      <c r="E23" s="187">
        <v>-199</v>
      </c>
      <c r="F23" s="283">
        <v>-40</v>
      </c>
      <c r="G23" s="395">
        <v>-5045</v>
      </c>
      <c r="I23" s="187">
        <v>-140</v>
      </c>
      <c r="J23" s="187">
        <v>-223</v>
      </c>
      <c r="K23" s="187">
        <v>-10</v>
      </c>
      <c r="L23" s="283">
        <v>-39</v>
      </c>
      <c r="M23" s="395">
        <f t="shared" si="1"/>
        <v>-412</v>
      </c>
    </row>
    <row r="24" spans="1:13" s="305" customFormat="1" x14ac:dyDescent="0.2">
      <c r="A24" s="389" t="s">
        <v>744</v>
      </c>
      <c r="B24" s="389" t="s">
        <v>301</v>
      </c>
      <c r="C24" s="187" t="s">
        <v>572</v>
      </c>
      <c r="D24" s="187">
        <v>-10140</v>
      </c>
      <c r="E24" s="187" t="s">
        <v>572</v>
      </c>
      <c r="F24" s="283">
        <v>116</v>
      </c>
      <c r="G24" s="395">
        <v>-10024</v>
      </c>
      <c r="I24" s="187" t="s">
        <v>572</v>
      </c>
      <c r="J24" s="187">
        <v>-10140</v>
      </c>
      <c r="K24" s="187" t="s">
        <v>572</v>
      </c>
      <c r="L24" s="283">
        <v>24</v>
      </c>
      <c r="M24" s="395">
        <f t="shared" si="1"/>
        <v>-10116</v>
      </c>
    </row>
    <row r="25" spans="1:13" s="305" customFormat="1" ht="15.75" thickBot="1" x14ac:dyDescent="0.25">
      <c r="A25" s="423" t="s">
        <v>119</v>
      </c>
      <c r="B25" s="423" t="s">
        <v>302</v>
      </c>
      <c r="C25" s="219">
        <v>-89432</v>
      </c>
      <c r="D25" s="219">
        <v>-79609</v>
      </c>
      <c r="E25" s="219">
        <v>-14424</v>
      </c>
      <c r="F25" s="738" t="s">
        <v>572</v>
      </c>
      <c r="G25" s="922">
        <v>-183465</v>
      </c>
      <c r="I25" s="219">
        <v>-27879</v>
      </c>
      <c r="J25" s="219">
        <v>-45604</v>
      </c>
      <c r="K25" s="219">
        <v>-11374</v>
      </c>
      <c r="L25" s="738" t="s">
        <v>572</v>
      </c>
      <c r="M25" s="922">
        <f t="shared" si="1"/>
        <v>-84857</v>
      </c>
    </row>
    <row r="26" spans="1:13" s="305" customFormat="1" x14ac:dyDescent="0.2">
      <c r="A26" s="995" t="s">
        <v>881</v>
      </c>
      <c r="B26" s="995" t="s">
        <v>293</v>
      </c>
      <c r="C26" s="1037">
        <f>SUM(C14:C25)</f>
        <v>2272356</v>
      </c>
      <c r="D26" s="1037">
        <f t="shared" ref="D26:F26" si="2">SUM(D14:D25)</f>
        <v>873638</v>
      </c>
      <c r="E26" s="1037">
        <f t="shared" si="2"/>
        <v>61900</v>
      </c>
      <c r="F26" s="1037">
        <f t="shared" si="2"/>
        <v>147903</v>
      </c>
      <c r="G26" s="1037">
        <v>3355797</v>
      </c>
      <c r="I26" s="1288">
        <f>SUM(I14:I25)</f>
        <v>835317</v>
      </c>
      <c r="J26" s="1288">
        <f t="shared" ref="J26:M26" si="3">SUM(J14:J25)</f>
        <v>333961</v>
      </c>
      <c r="K26" s="1288">
        <f t="shared" si="3"/>
        <v>39744</v>
      </c>
      <c r="L26" s="1288">
        <f t="shared" si="3"/>
        <v>113496</v>
      </c>
      <c r="M26" s="1288">
        <f t="shared" si="3"/>
        <v>1322518</v>
      </c>
    </row>
    <row r="27" spans="1:13" s="305" customFormat="1" x14ac:dyDescent="0.25">
      <c r="A27" s="465"/>
      <c r="B27" s="465"/>
      <c r="C27" s="129"/>
      <c r="D27" s="129"/>
      <c r="E27" s="129"/>
      <c r="F27" s="129"/>
      <c r="G27" s="129"/>
      <c r="I27" s="323"/>
      <c r="J27" s="323"/>
      <c r="K27" s="323"/>
      <c r="L27" s="642"/>
      <c r="M27" s="323"/>
    </row>
    <row r="28" spans="1:13" s="305" customFormat="1" x14ac:dyDescent="0.25">
      <c r="A28" s="1263" t="s">
        <v>800</v>
      </c>
      <c r="B28" s="1263" t="s">
        <v>801</v>
      </c>
      <c r="C28" s="398"/>
      <c r="D28" s="398"/>
      <c r="E28" s="398"/>
      <c r="F28" s="460"/>
      <c r="G28" s="398"/>
      <c r="I28" s="323"/>
      <c r="J28" s="323"/>
      <c r="K28" s="323"/>
      <c r="L28" s="642"/>
      <c r="M28" s="323"/>
    </row>
    <row r="29" spans="1:13" s="305" customFormat="1" x14ac:dyDescent="0.2">
      <c r="A29" s="292" t="s">
        <v>109</v>
      </c>
      <c r="B29" s="292" t="s">
        <v>298</v>
      </c>
      <c r="C29" s="418">
        <v>4615210</v>
      </c>
      <c r="D29" s="418">
        <v>2059129</v>
      </c>
      <c r="E29" s="418">
        <v>186442</v>
      </c>
      <c r="F29" s="418">
        <v>153893</v>
      </c>
      <c r="G29" s="546">
        <v>7014674</v>
      </c>
      <c r="I29" s="713">
        <f>I26-I30</f>
        <v>1833638</v>
      </c>
      <c r="J29" s="713">
        <v>925505</v>
      </c>
      <c r="K29" s="713">
        <v>150827</v>
      </c>
      <c r="L29" s="713">
        <v>119354</v>
      </c>
      <c r="M29" s="889">
        <f>SUM(I29:L29)</f>
        <v>3029324</v>
      </c>
    </row>
    <row r="30" spans="1:13" s="305" customFormat="1" ht="15.75" thickBot="1" x14ac:dyDescent="0.25">
      <c r="A30" s="423" t="s">
        <v>815</v>
      </c>
      <c r="B30" s="423" t="s">
        <v>299</v>
      </c>
      <c r="C30" s="219">
        <v>-2342854</v>
      </c>
      <c r="D30" s="219">
        <v>-1185491</v>
      </c>
      <c r="E30" s="219">
        <v>-124542</v>
      </c>
      <c r="F30" s="219">
        <v>-5990</v>
      </c>
      <c r="G30" s="922">
        <v>-3658877</v>
      </c>
      <c r="I30" s="1141">
        <v>-998321</v>
      </c>
      <c r="J30" s="1141">
        <v>-591544</v>
      </c>
      <c r="K30" s="1141">
        <v>-111083</v>
      </c>
      <c r="L30" s="1141">
        <v>-5858</v>
      </c>
      <c r="M30" s="317">
        <f>SUM(I30:L30)</f>
        <v>-1706806</v>
      </c>
    </row>
    <row r="31" spans="1:13" s="305" customFormat="1" x14ac:dyDescent="0.2">
      <c r="A31" s="995" t="s">
        <v>111</v>
      </c>
      <c r="B31" s="995" t="s">
        <v>289</v>
      </c>
      <c r="C31" s="1037">
        <v>2272356</v>
      </c>
      <c r="D31" s="1037">
        <v>873638</v>
      </c>
      <c r="E31" s="1037">
        <v>61900</v>
      </c>
      <c r="F31" s="1037">
        <v>147903</v>
      </c>
      <c r="G31" s="1037">
        <v>3355797</v>
      </c>
      <c r="I31" s="1288">
        <f t="shared" ref="I31:K31" si="4">SUM(I29:I30)</f>
        <v>835317</v>
      </c>
      <c r="J31" s="1288">
        <f t="shared" si="4"/>
        <v>333961</v>
      </c>
      <c r="K31" s="1288">
        <f t="shared" si="4"/>
        <v>39744</v>
      </c>
      <c r="L31" s="1288">
        <f>SUM(L29:L30)</f>
        <v>113496</v>
      </c>
      <c r="M31" s="1288">
        <f>SUM(M29:M30)</f>
        <v>1322518</v>
      </c>
    </row>
    <row r="32" spans="1:13" s="305" customFormat="1" x14ac:dyDescent="0.25">
      <c r="A32" s="465"/>
      <c r="B32" s="465"/>
      <c r="C32" s="129"/>
      <c r="D32" s="129"/>
      <c r="E32" s="129"/>
      <c r="F32" s="129"/>
      <c r="G32" s="129"/>
      <c r="I32" s="129"/>
      <c r="J32" s="129"/>
      <c r="K32" s="129"/>
      <c r="L32" s="129"/>
      <c r="M32" s="129"/>
    </row>
    <row r="33" spans="1:13" s="305" customFormat="1" x14ac:dyDescent="0.25">
      <c r="A33" s="1263" t="s">
        <v>962</v>
      </c>
      <c r="B33" s="1263" t="s">
        <v>963</v>
      </c>
      <c r="C33" s="398"/>
      <c r="D33" s="398"/>
      <c r="E33" s="398"/>
      <c r="F33" s="285"/>
      <c r="G33" s="398"/>
      <c r="I33" s="398"/>
      <c r="J33" s="398"/>
      <c r="K33" s="398"/>
      <c r="L33" s="285"/>
      <c r="M33" s="398"/>
    </row>
    <row r="34" spans="1:13" s="305" customFormat="1" ht="21.6" customHeight="1" x14ac:dyDescent="0.2">
      <c r="A34" s="1289" t="s">
        <v>1627</v>
      </c>
      <c r="B34" s="419" t="s">
        <v>1628</v>
      </c>
      <c r="C34" s="229">
        <v>-23337</v>
      </c>
      <c r="D34" s="229">
        <v>48261</v>
      </c>
      <c r="E34" s="229">
        <v>-2757</v>
      </c>
      <c r="F34" s="279" t="s">
        <v>572</v>
      </c>
      <c r="G34" s="404">
        <v>22167</v>
      </c>
      <c r="I34" s="418">
        <v>-23337</v>
      </c>
      <c r="J34" s="418">
        <v>48261</v>
      </c>
      <c r="K34" s="418">
        <v>-2757</v>
      </c>
      <c r="L34" s="712" t="s">
        <v>572</v>
      </c>
      <c r="M34" s="546">
        <v>22167</v>
      </c>
    </row>
    <row r="35" spans="1:13" s="305" customFormat="1" x14ac:dyDescent="0.2">
      <c r="A35" s="292" t="s">
        <v>1399</v>
      </c>
      <c r="B35" s="419" t="s">
        <v>1400</v>
      </c>
      <c r="C35" s="229">
        <v>-1162</v>
      </c>
      <c r="D35" s="229">
        <v>-993</v>
      </c>
      <c r="E35" s="229">
        <v>-105</v>
      </c>
      <c r="F35" s="279" t="s">
        <v>572</v>
      </c>
      <c r="G35" s="404">
        <v>-2260</v>
      </c>
      <c r="I35" s="418">
        <v>-1162</v>
      </c>
      <c r="J35" s="418">
        <v>-993</v>
      </c>
      <c r="K35" s="418">
        <v>-105</v>
      </c>
      <c r="L35" s="712" t="s">
        <v>572</v>
      </c>
      <c r="M35" s="546">
        <v>-2260</v>
      </c>
    </row>
    <row r="36" spans="1:13" s="305" customFormat="1" x14ac:dyDescent="0.2">
      <c r="A36" s="389" t="s">
        <v>112</v>
      </c>
      <c r="B36" s="389" t="s">
        <v>290</v>
      </c>
      <c r="C36" s="184" t="s">
        <v>572</v>
      </c>
      <c r="D36" s="184" t="s">
        <v>572</v>
      </c>
      <c r="E36" s="184" t="s">
        <v>572</v>
      </c>
      <c r="F36" s="282">
        <v>241220</v>
      </c>
      <c r="G36" s="390">
        <f t="shared" ref="G36:G44" si="5">SUM(C36:F36)</f>
        <v>241220</v>
      </c>
      <c r="I36" s="187" t="s">
        <v>572</v>
      </c>
      <c r="J36" s="187" t="s">
        <v>572</v>
      </c>
      <c r="K36" s="187" t="s">
        <v>572</v>
      </c>
      <c r="L36" s="283">
        <f>19699-L38-1</f>
        <v>84373</v>
      </c>
      <c r="M36" s="395">
        <f t="shared" ref="M36:M43" si="6">SUM(I36:L36)</f>
        <v>84373</v>
      </c>
    </row>
    <row r="37" spans="1:13" s="305" customFormat="1" hidden="1" x14ac:dyDescent="0.2">
      <c r="A37" s="389" t="s">
        <v>885</v>
      </c>
      <c r="B37" s="389" t="s">
        <v>886</v>
      </c>
      <c r="C37" s="184"/>
      <c r="D37" s="184"/>
      <c r="E37" s="184"/>
      <c r="F37" s="282"/>
      <c r="G37" s="390">
        <f t="shared" si="5"/>
        <v>0</v>
      </c>
      <c r="I37" s="187"/>
      <c r="J37" s="187"/>
      <c r="K37" s="187"/>
      <c r="L37" s="283"/>
      <c r="M37" s="395">
        <f t="shared" si="6"/>
        <v>0</v>
      </c>
    </row>
    <row r="38" spans="1:13" s="305" customFormat="1" x14ac:dyDescent="0.2">
      <c r="A38" s="389" t="s">
        <v>118</v>
      </c>
      <c r="B38" s="389" t="s">
        <v>300</v>
      </c>
      <c r="C38" s="184">
        <v>85841</v>
      </c>
      <c r="D38" s="184">
        <v>63460</v>
      </c>
      <c r="E38" s="184">
        <v>16728</v>
      </c>
      <c r="F38" s="282">
        <f>-SUM(C38:E38)</f>
        <v>-166029</v>
      </c>
      <c r="G38" s="390">
        <f t="shared" si="5"/>
        <v>0</v>
      </c>
      <c r="I38" s="187">
        <f>17349-1</f>
        <v>17348</v>
      </c>
      <c r="J38" s="187">
        <f>37635-1</f>
        <v>37634</v>
      </c>
      <c r="K38" s="187">
        <f>9690+3</f>
        <v>9693</v>
      </c>
      <c r="L38" s="283">
        <f>-64674-1</f>
        <v>-64675</v>
      </c>
      <c r="M38" s="395">
        <f t="shared" si="6"/>
        <v>0</v>
      </c>
    </row>
    <row r="39" spans="1:13" s="305" customFormat="1" x14ac:dyDescent="0.2">
      <c r="A39" s="389" t="s">
        <v>533</v>
      </c>
      <c r="B39" s="389" t="s">
        <v>534</v>
      </c>
      <c r="C39" s="184">
        <v>-1182</v>
      </c>
      <c r="D39" s="184" t="s">
        <v>572</v>
      </c>
      <c r="E39" s="184" t="s">
        <v>572</v>
      </c>
      <c r="F39" s="282" t="s">
        <v>572</v>
      </c>
      <c r="G39" s="390">
        <f t="shared" si="5"/>
        <v>-1182</v>
      </c>
      <c r="I39" s="187">
        <f>-1062+3</f>
        <v>-1059</v>
      </c>
      <c r="J39" s="187" t="s">
        <v>572</v>
      </c>
      <c r="K39" s="187" t="s">
        <v>572</v>
      </c>
      <c r="L39" s="283" t="s">
        <v>572</v>
      </c>
      <c r="M39" s="395">
        <f t="shared" si="6"/>
        <v>-1059</v>
      </c>
    </row>
    <row r="40" spans="1:13" s="305" customFormat="1" x14ac:dyDescent="0.2">
      <c r="A40" s="389" t="s">
        <v>1176</v>
      </c>
      <c r="B40" s="389" t="s">
        <v>1401</v>
      </c>
      <c r="C40" s="184" t="s">
        <v>572</v>
      </c>
      <c r="D40" s="184" t="s">
        <v>572</v>
      </c>
      <c r="E40" s="184" t="s">
        <v>572</v>
      </c>
      <c r="F40" s="282" t="s">
        <v>572</v>
      </c>
      <c r="G40" s="390" t="s">
        <v>572</v>
      </c>
      <c r="I40" s="187">
        <f>8335</f>
        <v>8335</v>
      </c>
      <c r="J40" s="187" t="s">
        <v>572</v>
      </c>
      <c r="K40" s="187" t="s">
        <v>572</v>
      </c>
      <c r="L40" s="283" t="s">
        <v>572</v>
      </c>
      <c r="M40" s="395">
        <f t="shared" si="6"/>
        <v>8335</v>
      </c>
    </row>
    <row r="41" spans="1:13" s="305" customFormat="1" x14ac:dyDescent="0.2">
      <c r="A41" s="389" t="s">
        <v>113</v>
      </c>
      <c r="B41" s="389" t="s">
        <v>291</v>
      </c>
      <c r="C41" s="184">
        <v>-2953</v>
      </c>
      <c r="D41" s="184">
        <v>-1509</v>
      </c>
      <c r="E41" s="184">
        <v>-97</v>
      </c>
      <c r="F41" s="282">
        <v>-337</v>
      </c>
      <c r="G41" s="390">
        <f t="shared" si="5"/>
        <v>-4896</v>
      </c>
      <c r="I41" s="187">
        <v>-40</v>
      </c>
      <c r="J41" s="187">
        <v>-78</v>
      </c>
      <c r="K41" s="187">
        <v>-33</v>
      </c>
      <c r="L41" s="283">
        <v>-334</v>
      </c>
      <c r="M41" s="395">
        <f t="shared" si="6"/>
        <v>-485</v>
      </c>
    </row>
    <row r="42" spans="1:13" s="305" customFormat="1" x14ac:dyDescent="0.2">
      <c r="A42" s="389" t="s">
        <v>744</v>
      </c>
      <c r="B42" s="389" t="s">
        <v>301</v>
      </c>
      <c r="C42" s="184">
        <v>-261</v>
      </c>
      <c r="D42" s="184">
        <v>-116799</v>
      </c>
      <c r="E42" s="184" t="s">
        <v>572</v>
      </c>
      <c r="F42" s="282">
        <v>814</v>
      </c>
      <c r="G42" s="390">
        <f t="shared" si="5"/>
        <v>-116246</v>
      </c>
      <c r="I42" s="187">
        <v>-261</v>
      </c>
      <c r="J42" s="187">
        <v>-116799</v>
      </c>
      <c r="K42" s="187" t="s">
        <v>572</v>
      </c>
      <c r="L42" s="283">
        <v>803</v>
      </c>
      <c r="M42" s="395">
        <f t="shared" si="6"/>
        <v>-116257</v>
      </c>
    </row>
    <row r="43" spans="1:13" s="305" customFormat="1" ht="15.75" thickBot="1" x14ac:dyDescent="0.25">
      <c r="A43" s="423" t="s">
        <v>119</v>
      </c>
      <c r="B43" s="423" t="s">
        <v>302</v>
      </c>
      <c r="C43" s="201">
        <v>-85710</v>
      </c>
      <c r="D43" s="201">
        <f>-82911+1</f>
        <v>-82910</v>
      </c>
      <c r="E43" s="201">
        <v>-16995</v>
      </c>
      <c r="F43" s="278" t="s">
        <v>572</v>
      </c>
      <c r="G43" s="831">
        <f t="shared" si="5"/>
        <v>-185615</v>
      </c>
      <c r="I43" s="219">
        <v>-23815</v>
      </c>
      <c r="J43" s="219">
        <v>-50217</v>
      </c>
      <c r="K43" s="219">
        <f>-11844-2</f>
        <v>-11846</v>
      </c>
      <c r="L43" s="738" t="s">
        <v>572</v>
      </c>
      <c r="M43" s="922">
        <f t="shared" si="6"/>
        <v>-85878</v>
      </c>
    </row>
    <row r="44" spans="1:13" s="305" customFormat="1" x14ac:dyDescent="0.2">
      <c r="A44" s="995" t="s">
        <v>881</v>
      </c>
      <c r="B44" s="995" t="s">
        <v>293</v>
      </c>
      <c r="C44" s="899">
        <f>SUM(C31:C43)</f>
        <v>2243592</v>
      </c>
      <c r="D44" s="899">
        <f>SUM(D31:D43)</f>
        <v>783148</v>
      </c>
      <c r="E44" s="899">
        <f>SUM(E31:E43)</f>
        <v>58674</v>
      </c>
      <c r="F44" s="899">
        <f>SUM(F31:F43)</f>
        <v>223571</v>
      </c>
      <c r="G44" s="899">
        <f t="shared" si="5"/>
        <v>3308985</v>
      </c>
      <c r="I44" s="1037">
        <f>SUM(I31:I43)</f>
        <v>811326</v>
      </c>
      <c r="J44" s="1037">
        <f t="shared" ref="J44:M44" si="7">SUM(J31:J43)</f>
        <v>251769</v>
      </c>
      <c r="K44" s="1037">
        <f t="shared" si="7"/>
        <v>34696</v>
      </c>
      <c r="L44" s="1037">
        <f t="shared" si="7"/>
        <v>133663</v>
      </c>
      <c r="M44" s="1037">
        <f t="shared" si="7"/>
        <v>1231454</v>
      </c>
    </row>
    <row r="45" spans="1:13" s="305" customFormat="1" x14ac:dyDescent="0.25">
      <c r="A45" s="465"/>
      <c r="B45" s="465"/>
      <c r="C45" s="129"/>
      <c r="D45" s="129"/>
      <c r="E45" s="129"/>
      <c r="F45" s="129"/>
      <c r="G45" s="129"/>
      <c r="I45" s="129"/>
      <c r="J45" s="129"/>
      <c r="K45" s="129"/>
      <c r="L45" s="129"/>
      <c r="M45" s="129"/>
    </row>
    <row r="46" spans="1:13" s="305" customFormat="1" x14ac:dyDescent="0.25">
      <c r="A46" s="1263" t="s">
        <v>955</v>
      </c>
      <c r="B46" s="1263" t="s">
        <v>956</v>
      </c>
      <c r="C46" s="398"/>
      <c r="D46" s="398"/>
      <c r="E46" s="398"/>
      <c r="F46" s="460"/>
      <c r="G46" s="398"/>
      <c r="I46" s="398"/>
      <c r="J46" s="398"/>
      <c r="K46" s="398"/>
      <c r="L46" s="460"/>
      <c r="M46" s="398"/>
    </row>
    <row r="47" spans="1:13" s="305" customFormat="1" x14ac:dyDescent="0.2">
      <c r="A47" s="292" t="s">
        <v>109</v>
      </c>
      <c r="B47" s="292" t="s">
        <v>298</v>
      </c>
      <c r="C47" s="418">
        <v>4567205</v>
      </c>
      <c r="D47" s="418">
        <v>2313351</v>
      </c>
      <c r="E47" s="418">
        <f>199884-4</f>
        <v>199880</v>
      </c>
      <c r="F47" s="418">
        <f>228744+4</f>
        <v>228748</v>
      </c>
      <c r="G47" s="1153">
        <f>SUM(C47:F47)</f>
        <v>7309184</v>
      </c>
      <c r="I47" s="418">
        <v>1769280</v>
      </c>
      <c r="J47" s="418">
        <v>1184339</v>
      </c>
      <c r="K47" s="418">
        <f>157614-5</f>
        <v>157609</v>
      </c>
      <c r="L47" s="418">
        <f>138715+3</f>
        <v>138718</v>
      </c>
      <c r="M47" s="546">
        <f>SUM(I47:L47)</f>
        <v>3249946</v>
      </c>
    </row>
    <row r="48" spans="1:13" s="305" customFormat="1" ht="15.75" thickBot="1" x14ac:dyDescent="0.25">
      <c r="A48" s="423" t="s">
        <v>815</v>
      </c>
      <c r="B48" s="423" t="s">
        <v>299</v>
      </c>
      <c r="C48" s="219">
        <v>-2323613</v>
      </c>
      <c r="D48" s="219">
        <v>-1530203</v>
      </c>
      <c r="E48" s="219">
        <v>-141206</v>
      </c>
      <c r="F48" s="219">
        <v>-5177</v>
      </c>
      <c r="G48" s="922">
        <f>SUM(C48:F48)</f>
        <v>-4000199</v>
      </c>
      <c r="I48" s="219">
        <v>-957954</v>
      </c>
      <c r="J48" s="219">
        <v>-932570</v>
      </c>
      <c r="K48" s="219">
        <v>-122913</v>
      </c>
      <c r="L48" s="219">
        <v>-5055</v>
      </c>
      <c r="M48" s="922">
        <f>SUM(I48:L48)</f>
        <v>-2018492</v>
      </c>
    </row>
    <row r="49" spans="1:16" s="305" customFormat="1" ht="16.899999999999999" customHeight="1" thickBot="1" x14ac:dyDescent="0.25">
      <c r="A49" s="939" t="s">
        <v>111</v>
      </c>
      <c r="B49" s="939" t="s">
        <v>289</v>
      </c>
      <c r="C49" s="938">
        <f>SUM(C47:C48)</f>
        <v>2243592</v>
      </c>
      <c r="D49" s="938">
        <f t="shared" ref="D49:G49" si="8">SUM(D47:D48)</f>
        <v>783148</v>
      </c>
      <c r="E49" s="938">
        <f t="shared" si="8"/>
        <v>58674</v>
      </c>
      <c r="F49" s="938">
        <f t="shared" si="8"/>
        <v>223571</v>
      </c>
      <c r="G49" s="938">
        <f t="shared" si="8"/>
        <v>3308985</v>
      </c>
      <c r="I49" s="938">
        <f>SUM(I47:I48)</f>
        <v>811326</v>
      </c>
      <c r="J49" s="938">
        <f t="shared" ref="J49:M49" si="9">SUM(J47:J48)</f>
        <v>251769</v>
      </c>
      <c r="K49" s="938">
        <f t="shared" si="9"/>
        <v>34696</v>
      </c>
      <c r="L49" s="938">
        <f t="shared" si="9"/>
        <v>133663</v>
      </c>
      <c r="M49" s="938">
        <f t="shared" si="9"/>
        <v>1231454</v>
      </c>
    </row>
    <row r="50" spans="1:16" s="305" customFormat="1" ht="98.45" customHeight="1" x14ac:dyDescent="0.25">
      <c r="A50" s="1290" t="s">
        <v>1629</v>
      </c>
      <c r="B50" s="1291" t="s">
        <v>1630</v>
      </c>
      <c r="C50" s="1292">
        <f>C44-C49</f>
        <v>0</v>
      </c>
      <c r="D50" s="1292">
        <f t="shared" ref="D50:G50" si="10">D44-D49</f>
        <v>0</v>
      </c>
      <c r="E50" s="1292">
        <f t="shared" si="10"/>
        <v>0</v>
      </c>
      <c r="F50" s="1292">
        <f t="shared" si="10"/>
        <v>0</v>
      </c>
      <c r="G50" s="1292">
        <f t="shared" si="10"/>
        <v>0</v>
      </c>
      <c r="I50" s="1292">
        <f>I49-I44</f>
        <v>0</v>
      </c>
      <c r="J50" s="1292">
        <f t="shared" ref="J50:M50" si="11">J49-J44</f>
        <v>0</v>
      </c>
      <c r="K50" s="1292">
        <f t="shared" si="11"/>
        <v>0</v>
      </c>
      <c r="L50" s="1292">
        <f t="shared" si="11"/>
        <v>0</v>
      </c>
      <c r="M50" s="1292">
        <f t="shared" si="11"/>
        <v>0</v>
      </c>
    </row>
    <row r="51" spans="1:16" s="305" customFormat="1" x14ac:dyDescent="0.25">
      <c r="A51" s="461"/>
      <c r="B51" s="461"/>
      <c r="I51" s="1292"/>
      <c r="J51" s="1292"/>
      <c r="K51" s="1292"/>
      <c r="L51" s="1292"/>
      <c r="M51" s="1292"/>
      <c r="O51" s="462"/>
      <c r="P51" s="462"/>
    </row>
    <row r="52" spans="1:16" s="462" customFormat="1" x14ac:dyDescent="0.25">
      <c r="P52" s="305"/>
    </row>
    <row r="53" spans="1:16" s="305" customFormat="1" ht="15.75" thickBot="1" x14ac:dyDescent="0.3">
      <c r="A53" s="1293" t="s">
        <v>537</v>
      </c>
      <c r="B53" s="1293" t="s">
        <v>538</v>
      </c>
      <c r="K53" s="402" t="s">
        <v>51</v>
      </c>
    </row>
    <row r="54" spans="1:16" s="305" customFormat="1" ht="15.75" customHeight="1" thickBot="1" x14ac:dyDescent="0.3">
      <c r="A54" s="461"/>
      <c r="B54" s="461"/>
      <c r="C54" s="1525" t="s">
        <v>949</v>
      </c>
      <c r="D54" s="1525"/>
      <c r="E54" s="1294"/>
      <c r="F54" s="1525" t="str">
        <f>I6</f>
        <v>Mātessabiedrība/Parent Company</v>
      </c>
      <c r="G54" s="1525"/>
      <c r="H54" s="1525"/>
      <c r="I54" s="1525"/>
      <c r="J54" s="1525"/>
      <c r="K54" s="1525"/>
    </row>
    <row r="55" spans="1:16" s="643" customFormat="1" ht="27.6" customHeight="1" thickBot="1" x14ac:dyDescent="0.3">
      <c r="A55" s="491"/>
      <c r="B55" s="491"/>
      <c r="C55" s="1526" t="s">
        <v>1007</v>
      </c>
      <c r="D55" s="1526"/>
      <c r="E55" s="1295"/>
      <c r="F55" s="1526" t="s">
        <v>1008</v>
      </c>
      <c r="G55" s="1526"/>
      <c r="H55" s="1526" t="s">
        <v>1009</v>
      </c>
      <c r="I55" s="1526"/>
      <c r="J55" s="1526" t="s">
        <v>887</v>
      </c>
      <c r="K55" s="1526"/>
    </row>
    <row r="56" spans="1:16" s="643" customFormat="1" ht="28.9" customHeight="1" thickBot="1" x14ac:dyDescent="0.3">
      <c r="A56" s="464"/>
      <c r="B56" s="464"/>
      <c r="C56" s="1526" t="s">
        <v>1010</v>
      </c>
      <c r="D56" s="1526"/>
      <c r="E56" s="1295"/>
      <c r="F56" s="1526" t="s">
        <v>1011</v>
      </c>
      <c r="G56" s="1526"/>
      <c r="H56" s="1526" t="s">
        <v>1012</v>
      </c>
      <c r="I56" s="1526"/>
      <c r="J56" s="1526" t="s">
        <v>888</v>
      </c>
      <c r="K56" s="1526"/>
    </row>
    <row r="57" spans="1:16" s="305" customFormat="1" ht="15.75" thickBot="1" x14ac:dyDescent="0.3">
      <c r="A57" s="483"/>
      <c r="B57" s="483"/>
      <c r="C57" s="1002">
        <v>2017</v>
      </c>
      <c r="D57" s="463">
        <v>2016</v>
      </c>
      <c r="F57" s="1002">
        <v>2017</v>
      </c>
      <c r="G57" s="463">
        <v>2016</v>
      </c>
      <c r="H57" s="1002">
        <v>2017</v>
      </c>
      <c r="I57" s="463">
        <v>2016</v>
      </c>
      <c r="J57" s="1002">
        <v>2017</v>
      </c>
      <c r="K57" s="463">
        <v>2016</v>
      </c>
    </row>
    <row r="58" spans="1:16" s="305" customFormat="1" x14ac:dyDescent="0.25">
      <c r="A58" s="465"/>
      <c r="B58" s="465"/>
      <c r="C58" s="1003"/>
      <c r="D58" s="464"/>
      <c r="F58" s="1003"/>
      <c r="G58" s="464"/>
      <c r="H58" s="1003"/>
      <c r="I58" s="464"/>
      <c r="J58" s="1003"/>
      <c r="K58" s="464"/>
    </row>
    <row r="59" spans="1:16" s="305" customFormat="1" x14ac:dyDescent="0.25">
      <c r="A59" s="465"/>
      <c r="B59" s="465"/>
      <c r="C59" s="1004"/>
      <c r="D59" s="466"/>
      <c r="F59" s="1005"/>
      <c r="G59" s="465"/>
      <c r="H59" s="1004"/>
      <c r="I59" s="466"/>
      <c r="J59" s="1004"/>
      <c r="K59" s="466"/>
    </row>
    <row r="60" spans="1:16" s="305" customFormat="1" x14ac:dyDescent="0.2">
      <c r="A60" s="293" t="s">
        <v>539</v>
      </c>
      <c r="B60" s="293" t="s">
        <v>542</v>
      </c>
      <c r="C60" s="1296">
        <f>D69</f>
        <v>563</v>
      </c>
      <c r="D60" s="546">
        <v>696</v>
      </c>
      <c r="E60" s="411"/>
      <c r="F60" s="1296">
        <f>G69</f>
        <v>72335</v>
      </c>
      <c r="G60" s="546">
        <v>71041</v>
      </c>
      <c r="H60" s="1296">
        <f>I69</f>
        <v>498</v>
      </c>
      <c r="I60" s="546">
        <v>522</v>
      </c>
      <c r="J60" s="1296">
        <f t="shared" ref="J60:K69" si="12">SUM(F60,H60)</f>
        <v>72833</v>
      </c>
      <c r="K60" s="546">
        <f>SUM(G60,I60)</f>
        <v>71563</v>
      </c>
    </row>
    <row r="61" spans="1:16" s="305" customFormat="1" x14ac:dyDescent="0.2">
      <c r="A61" s="389" t="s">
        <v>112</v>
      </c>
      <c r="B61" s="389" t="s">
        <v>290</v>
      </c>
      <c r="C61" s="854" t="s">
        <v>572</v>
      </c>
      <c r="D61" s="187" t="s">
        <v>572</v>
      </c>
      <c r="E61" s="411"/>
      <c r="F61" s="1297">
        <v>2373</v>
      </c>
      <c r="G61" s="1298">
        <v>3842</v>
      </c>
      <c r="H61" s="1297" t="s">
        <v>572</v>
      </c>
      <c r="I61" s="1298" t="s">
        <v>572</v>
      </c>
      <c r="J61" s="854">
        <f t="shared" si="12"/>
        <v>2373</v>
      </c>
      <c r="K61" s="187">
        <f t="shared" si="12"/>
        <v>3842</v>
      </c>
    </row>
    <row r="62" spans="1:16" s="305" customFormat="1" ht="22.5" x14ac:dyDescent="0.2">
      <c r="A62" s="389" t="s">
        <v>1013</v>
      </c>
      <c r="B62" s="389" t="s">
        <v>1014</v>
      </c>
      <c r="C62" s="854" t="s">
        <v>572</v>
      </c>
      <c r="D62" s="187" t="s">
        <v>572</v>
      </c>
      <c r="E62" s="411"/>
      <c r="F62" s="985">
        <v>-125</v>
      </c>
      <c r="G62" s="283">
        <v>-167</v>
      </c>
      <c r="H62" s="1297">
        <v>125</v>
      </c>
      <c r="I62" s="1298">
        <v>167</v>
      </c>
      <c r="J62" s="1297" t="s">
        <v>572</v>
      </c>
      <c r="K62" s="1298" t="s">
        <v>572</v>
      </c>
    </row>
    <row r="63" spans="1:16" s="305" customFormat="1" ht="22.5" x14ac:dyDescent="0.2">
      <c r="A63" s="389" t="s">
        <v>1265</v>
      </c>
      <c r="B63" s="389" t="s">
        <v>1015</v>
      </c>
      <c r="C63" s="854">
        <v>1183</v>
      </c>
      <c r="D63" s="187">
        <v>214</v>
      </c>
      <c r="E63" s="411"/>
      <c r="F63" s="985" t="s">
        <v>572</v>
      </c>
      <c r="G63" s="283">
        <v>177</v>
      </c>
      <c r="H63" s="985">
        <v>1060</v>
      </c>
      <c r="I63" s="283">
        <v>17</v>
      </c>
      <c r="J63" s="854">
        <f t="shared" si="12"/>
        <v>1060</v>
      </c>
      <c r="K63" s="187">
        <f t="shared" si="12"/>
        <v>194</v>
      </c>
    </row>
    <row r="64" spans="1:16" s="305" customFormat="1" x14ac:dyDescent="0.2">
      <c r="A64" s="389" t="s">
        <v>1177</v>
      </c>
      <c r="B64" s="389" t="s">
        <v>1178</v>
      </c>
      <c r="C64" s="854" t="s">
        <v>572</v>
      </c>
      <c r="D64" s="187" t="s">
        <v>572</v>
      </c>
      <c r="E64" s="411"/>
      <c r="F64" s="985">
        <v>-8334</v>
      </c>
      <c r="G64" s="283" t="s">
        <v>572</v>
      </c>
      <c r="H64" s="985" t="s">
        <v>572</v>
      </c>
      <c r="I64" s="283" t="s">
        <v>572</v>
      </c>
      <c r="J64" s="854">
        <f t="shared" si="12"/>
        <v>-8334</v>
      </c>
      <c r="K64" s="283" t="s">
        <v>572</v>
      </c>
    </row>
    <row r="65" spans="1:19" s="305" customFormat="1" x14ac:dyDescent="0.2">
      <c r="A65" s="389" t="s">
        <v>113</v>
      </c>
      <c r="B65" s="389" t="s">
        <v>748</v>
      </c>
      <c r="C65" s="854">
        <v>-2</v>
      </c>
      <c r="D65" s="187">
        <v>-1</v>
      </c>
      <c r="E65" s="411"/>
      <c r="F65" s="985">
        <v>-34</v>
      </c>
      <c r="G65" s="283">
        <v>-19</v>
      </c>
      <c r="H65" s="985">
        <v>-2</v>
      </c>
      <c r="I65" s="283" t="s">
        <v>572</v>
      </c>
      <c r="J65" s="854">
        <f t="shared" si="12"/>
        <v>-36</v>
      </c>
      <c r="K65" s="187">
        <f t="shared" si="12"/>
        <v>-19</v>
      </c>
    </row>
    <row r="66" spans="1:19" s="305" customFormat="1" x14ac:dyDescent="0.2">
      <c r="A66" s="389" t="s">
        <v>540</v>
      </c>
      <c r="B66" s="389" t="s">
        <v>543</v>
      </c>
      <c r="C66" s="854">
        <v>-284</v>
      </c>
      <c r="D66" s="187">
        <v>-504</v>
      </c>
      <c r="E66" s="411"/>
      <c r="F66" s="985" t="s">
        <v>572</v>
      </c>
      <c r="G66" s="283" t="s">
        <v>572</v>
      </c>
      <c r="H66" s="985">
        <v>-275</v>
      </c>
      <c r="I66" s="283">
        <v>-373</v>
      </c>
      <c r="J66" s="854">
        <f t="shared" si="12"/>
        <v>-275</v>
      </c>
      <c r="K66" s="187">
        <f t="shared" si="12"/>
        <v>-373</v>
      </c>
    </row>
    <row r="67" spans="1:19" s="305" customFormat="1" x14ac:dyDescent="0.2">
      <c r="A67" s="389" t="s">
        <v>744</v>
      </c>
      <c r="B67" s="389" t="s">
        <v>301</v>
      </c>
      <c r="C67" s="854">
        <v>-685</v>
      </c>
      <c r="D67" s="187">
        <v>187</v>
      </c>
      <c r="E67" s="411"/>
      <c r="F67" s="985" t="s">
        <v>572</v>
      </c>
      <c r="G67" s="283" t="s">
        <v>572</v>
      </c>
      <c r="H67" s="985">
        <v>-685</v>
      </c>
      <c r="I67" s="283">
        <v>187</v>
      </c>
      <c r="J67" s="854">
        <f t="shared" si="12"/>
        <v>-685</v>
      </c>
      <c r="K67" s="187">
        <f t="shared" si="12"/>
        <v>187</v>
      </c>
    </row>
    <row r="68" spans="1:19" s="305" customFormat="1" ht="15.75" thickBot="1" x14ac:dyDescent="0.25">
      <c r="A68" s="423" t="s">
        <v>114</v>
      </c>
      <c r="B68" s="423" t="s">
        <v>302</v>
      </c>
      <c r="C68" s="868">
        <v>-22</v>
      </c>
      <c r="D68" s="219">
        <v>-29</v>
      </c>
      <c r="E68" s="411"/>
      <c r="F68" s="1057">
        <v>-2108</v>
      </c>
      <c r="G68" s="738">
        <v>-2539</v>
      </c>
      <c r="H68" s="1057">
        <v>-21</v>
      </c>
      <c r="I68" s="738">
        <v>-22</v>
      </c>
      <c r="J68" s="868">
        <f t="shared" si="12"/>
        <v>-2129</v>
      </c>
      <c r="K68" s="219">
        <f t="shared" si="12"/>
        <v>-2561</v>
      </c>
    </row>
    <row r="69" spans="1:19" s="305" customFormat="1" ht="15.75" thickBot="1" x14ac:dyDescent="0.25">
      <c r="A69" s="968" t="s">
        <v>541</v>
      </c>
      <c r="B69" s="968" t="s">
        <v>544</v>
      </c>
      <c r="C69" s="1034">
        <f>SUM(C60:C68)</f>
        <v>753</v>
      </c>
      <c r="D69" s="1299">
        <v>563</v>
      </c>
      <c r="E69" s="411"/>
      <c r="F69" s="1034">
        <f>SUM(F60:F68)</f>
        <v>64107</v>
      </c>
      <c r="G69" s="1299">
        <v>72335</v>
      </c>
      <c r="H69" s="1034">
        <f>SUM(H60:H68)</f>
        <v>700</v>
      </c>
      <c r="I69" s="1299">
        <v>498</v>
      </c>
      <c r="J69" s="1034">
        <f t="shared" si="12"/>
        <v>64807</v>
      </c>
      <c r="K69" s="1299">
        <f t="shared" si="12"/>
        <v>72833</v>
      </c>
    </row>
    <row r="70" spans="1:19" s="305" customFormat="1" x14ac:dyDescent="0.25">
      <c r="A70" s="773"/>
      <c r="B70" s="774"/>
      <c r="C70" s="775"/>
      <c r="D70" s="775"/>
      <c r="G70" s="487"/>
      <c r="H70" s="487"/>
      <c r="I70" s="775"/>
      <c r="J70" s="775"/>
      <c r="K70" s="775"/>
      <c r="L70" s="775"/>
      <c r="M70" s="775"/>
      <c r="N70" s="775"/>
    </row>
    <row r="71" spans="1:19" s="305" customFormat="1" x14ac:dyDescent="0.25">
      <c r="A71" s="773"/>
      <c r="B71" s="774"/>
      <c r="C71" s="775"/>
      <c r="D71" s="775"/>
      <c r="G71" s="487"/>
      <c r="H71" s="487"/>
      <c r="I71" s="775"/>
      <c r="J71" s="775"/>
      <c r="K71" s="775"/>
      <c r="L71" s="775"/>
      <c r="M71" s="775"/>
      <c r="N71" s="775"/>
    </row>
    <row r="72" spans="1:19" s="462" customFormat="1" x14ac:dyDescent="0.25">
      <c r="A72" s="1300" t="s">
        <v>535</v>
      </c>
      <c r="B72" s="1293" t="s">
        <v>536</v>
      </c>
      <c r="P72" s="305"/>
      <c r="Q72" s="305"/>
      <c r="R72" s="305"/>
      <c r="S72" s="305"/>
    </row>
    <row r="73" spans="1:19" s="305" customFormat="1" ht="45.75" thickBot="1" x14ac:dyDescent="0.25">
      <c r="A73" s="412" t="s">
        <v>122</v>
      </c>
      <c r="B73" s="412" t="s">
        <v>304</v>
      </c>
      <c r="K73" s="443" t="s">
        <v>51</v>
      </c>
      <c r="P73" s="462"/>
    </row>
    <row r="74" spans="1:19" s="305" customFormat="1" ht="15" customHeight="1" thickBot="1" x14ac:dyDescent="0.25">
      <c r="A74" s="490"/>
      <c r="B74" s="490"/>
      <c r="C74" s="1528" t="s">
        <v>949</v>
      </c>
      <c r="D74" s="1528"/>
      <c r="E74" s="1528"/>
      <c r="F74" s="1528"/>
      <c r="G74" s="1301"/>
      <c r="H74" s="1302"/>
      <c r="I74" s="1303" t="s">
        <v>1403</v>
      </c>
      <c r="J74" s="1304"/>
      <c r="K74" s="1304"/>
      <c r="Q74" s="462"/>
      <c r="R74" s="462"/>
      <c r="S74" s="462"/>
    </row>
    <row r="75" spans="1:19" s="411" customFormat="1" ht="19.149999999999999" customHeight="1" thickBot="1" x14ac:dyDescent="0.3">
      <c r="A75" s="1521"/>
      <c r="B75" s="1521"/>
      <c r="C75" s="1522" t="s">
        <v>889</v>
      </c>
      <c r="D75" s="1522"/>
      <c r="E75" s="1522"/>
      <c r="F75" s="1522"/>
      <c r="G75" s="1305"/>
      <c r="H75" s="1306"/>
      <c r="I75" s="1307" t="s">
        <v>889</v>
      </c>
      <c r="J75" s="1307"/>
      <c r="K75" s="1307"/>
      <c r="P75" s="305"/>
      <c r="Q75" s="305"/>
      <c r="R75" s="305"/>
      <c r="S75" s="305"/>
    </row>
    <row r="76" spans="1:19" s="411" customFormat="1" ht="36.75" thickBot="1" x14ac:dyDescent="0.3">
      <c r="A76" s="1521"/>
      <c r="B76" s="1521"/>
      <c r="C76" s="1308" t="s">
        <v>890</v>
      </c>
      <c r="D76" s="1309" t="s">
        <v>891</v>
      </c>
      <c r="E76" s="1309" t="s">
        <v>892</v>
      </c>
      <c r="F76" s="1309" t="s">
        <v>893</v>
      </c>
      <c r="G76" s="1310"/>
      <c r="H76" s="1308" t="s">
        <v>890</v>
      </c>
      <c r="I76" s="1309" t="s">
        <v>891</v>
      </c>
      <c r="J76" s="1309" t="s">
        <v>892</v>
      </c>
      <c r="K76" s="1309" t="s">
        <v>893</v>
      </c>
      <c r="Q76" s="305"/>
      <c r="R76" s="305"/>
      <c r="S76" s="305"/>
    </row>
    <row r="77" spans="1:19" s="411" customFormat="1" ht="16.5" customHeight="1" outlineLevel="1" thickTop="1" thickBot="1" x14ac:dyDescent="0.3">
      <c r="A77" s="1521"/>
      <c r="B77" s="1521"/>
      <c r="C77" s="1523" t="s">
        <v>899</v>
      </c>
      <c r="D77" s="1523"/>
      <c r="E77" s="1523"/>
      <c r="F77" s="1523"/>
      <c r="G77" s="1310"/>
      <c r="H77" s="1523" t="s">
        <v>899</v>
      </c>
      <c r="I77" s="1523"/>
      <c r="J77" s="1523"/>
      <c r="K77" s="1523"/>
    </row>
    <row r="78" spans="1:19" s="411" customFormat="1" ht="45.75" outlineLevel="1" thickBot="1" x14ac:dyDescent="0.3">
      <c r="A78" s="1521"/>
      <c r="B78" s="1521"/>
      <c r="C78" s="1311" t="s">
        <v>895</v>
      </c>
      <c r="D78" s="1311" t="s">
        <v>896</v>
      </c>
      <c r="E78" s="1311" t="s">
        <v>897</v>
      </c>
      <c r="F78" s="1312" t="s">
        <v>898</v>
      </c>
      <c r="G78" s="1310"/>
      <c r="H78" s="1311" t="s">
        <v>895</v>
      </c>
      <c r="I78" s="1311" t="s">
        <v>896</v>
      </c>
      <c r="J78" s="1311" t="s">
        <v>897</v>
      </c>
      <c r="K78" s="1312" t="s">
        <v>898</v>
      </c>
    </row>
    <row r="79" spans="1:19" s="411" customFormat="1" ht="11.25" x14ac:dyDescent="0.25">
      <c r="A79" s="422"/>
      <c r="B79" s="422"/>
      <c r="C79" s="100"/>
      <c r="D79" s="100"/>
      <c r="E79" s="100"/>
      <c r="F79" s="101"/>
      <c r="H79" s="100"/>
      <c r="I79" s="100"/>
      <c r="J79" s="100"/>
      <c r="K79" s="101"/>
    </row>
    <row r="80" spans="1:19" s="411" customFormat="1" ht="11.25" x14ac:dyDescent="0.25">
      <c r="A80" s="467" t="s">
        <v>120</v>
      </c>
      <c r="B80" s="467" t="s">
        <v>488</v>
      </c>
      <c r="C80" s="468"/>
      <c r="D80" s="468"/>
      <c r="E80" s="468"/>
      <c r="F80" s="468"/>
      <c r="H80" s="468"/>
      <c r="I80" s="468"/>
      <c r="J80" s="468"/>
      <c r="K80" s="468"/>
    </row>
    <row r="81" spans="1:11" s="411" customFormat="1" ht="11.25" x14ac:dyDescent="0.25">
      <c r="A81" s="467"/>
      <c r="B81" s="467"/>
      <c r="C81" s="468"/>
      <c r="D81" s="468"/>
      <c r="E81" s="468"/>
      <c r="F81" s="468"/>
      <c r="H81" s="468"/>
      <c r="I81" s="468"/>
      <c r="J81" s="468"/>
      <c r="K81" s="468"/>
    </row>
    <row r="82" spans="1:11" s="411" customFormat="1" ht="11.25" x14ac:dyDescent="0.25">
      <c r="A82" s="1263" t="s">
        <v>800</v>
      </c>
      <c r="B82" s="1263" t="s">
        <v>801</v>
      </c>
      <c r="C82" s="1262"/>
      <c r="D82" s="1262"/>
      <c r="E82" s="1262"/>
      <c r="F82" s="1262"/>
      <c r="H82" s="1262"/>
      <c r="I82" s="1262"/>
      <c r="J82" s="1262"/>
      <c r="K82" s="1262"/>
    </row>
    <row r="83" spans="1:11" s="411" customFormat="1" ht="11.25" x14ac:dyDescent="0.25">
      <c r="A83" s="292" t="s">
        <v>109</v>
      </c>
      <c r="B83" s="292" t="s">
        <v>372</v>
      </c>
      <c r="C83" s="229">
        <v>4150707</v>
      </c>
      <c r="D83" s="229">
        <v>1433417</v>
      </c>
      <c r="E83" s="229">
        <v>30406</v>
      </c>
      <c r="F83" s="404">
        <v>5614530</v>
      </c>
      <c r="G83" s="437"/>
      <c r="H83" s="229">
        <v>1515376</v>
      </c>
      <c r="I83" s="229">
        <v>324771</v>
      </c>
      <c r="J83" s="229">
        <v>15769</v>
      </c>
      <c r="K83" s="404">
        <f>SUM(H83:J83)</f>
        <v>1855916</v>
      </c>
    </row>
    <row r="84" spans="1:11" s="411" customFormat="1" ht="12" thickBot="1" x14ac:dyDescent="0.3">
      <c r="A84" s="423" t="s">
        <v>815</v>
      </c>
      <c r="B84" s="423" t="s">
        <v>373</v>
      </c>
      <c r="C84" s="201">
        <v>-2205076</v>
      </c>
      <c r="D84" s="201">
        <v>-815208</v>
      </c>
      <c r="E84" s="201">
        <v>-18084</v>
      </c>
      <c r="F84" s="398">
        <v>-3038368</v>
      </c>
      <c r="H84" s="201">
        <v>-907067</v>
      </c>
      <c r="I84" s="201">
        <v>-229374</v>
      </c>
      <c r="J84" s="201">
        <v>-9647</v>
      </c>
      <c r="K84" s="398">
        <f t="shared" ref="K84:K102" si="13">SUM(H84:J84)</f>
        <v>-1146088</v>
      </c>
    </row>
    <row r="85" spans="1:11" s="411" customFormat="1" ht="11.25" x14ac:dyDescent="0.25">
      <c r="A85" s="995" t="s">
        <v>111</v>
      </c>
      <c r="B85" s="995" t="s">
        <v>374</v>
      </c>
      <c r="C85" s="899">
        <v>1945631</v>
      </c>
      <c r="D85" s="899">
        <v>618209</v>
      </c>
      <c r="E85" s="899">
        <v>12322</v>
      </c>
      <c r="F85" s="899">
        <v>2576162</v>
      </c>
      <c r="H85" s="899">
        <v>608309</v>
      </c>
      <c r="I85" s="899">
        <v>95397</v>
      </c>
      <c r="J85" s="899">
        <v>6122</v>
      </c>
      <c r="K85" s="899">
        <f t="shared" si="13"/>
        <v>709828</v>
      </c>
    </row>
    <row r="86" spans="1:11" s="411" customFormat="1" ht="11.25" x14ac:dyDescent="0.25">
      <c r="A86" s="387"/>
      <c r="B86" s="387"/>
      <c r="C86" s="1262"/>
      <c r="D86" s="1262"/>
      <c r="E86" s="1262"/>
      <c r="F86" s="1262"/>
      <c r="H86" s="1262"/>
      <c r="I86" s="1262"/>
      <c r="J86" s="1262"/>
      <c r="K86" s="1262"/>
    </row>
    <row r="87" spans="1:11" s="411" customFormat="1" ht="11.25" x14ac:dyDescent="0.25">
      <c r="A87" s="1263" t="s">
        <v>955</v>
      </c>
      <c r="B87" s="1263" t="s">
        <v>956</v>
      </c>
      <c r="C87" s="1262"/>
      <c r="D87" s="1262"/>
      <c r="E87" s="1262"/>
      <c r="F87" s="1262"/>
      <c r="H87" s="1262"/>
      <c r="I87" s="1262"/>
      <c r="J87" s="1262"/>
      <c r="K87" s="1262"/>
    </row>
    <row r="88" spans="1:11" s="411" customFormat="1" ht="11.25" x14ac:dyDescent="0.25">
      <c r="A88" s="292" t="s">
        <v>109</v>
      </c>
      <c r="B88" s="292" t="s">
        <v>372</v>
      </c>
      <c r="C88" s="229">
        <v>4087589</v>
      </c>
      <c r="D88" s="229">
        <v>1673602</v>
      </c>
      <c r="E88" s="229">
        <v>37908</v>
      </c>
      <c r="F88" s="404">
        <f t="shared" ref="F88:F90" si="14">SUM(C88:E88)</f>
        <v>5799099</v>
      </c>
      <c r="G88" s="437"/>
      <c r="H88" s="229">
        <v>1424022</v>
      </c>
      <c r="I88" s="229">
        <v>568670</v>
      </c>
      <c r="J88" s="229">
        <v>21921</v>
      </c>
      <c r="K88" s="404">
        <f t="shared" si="13"/>
        <v>2014613</v>
      </c>
    </row>
    <row r="89" spans="1:11" s="411" customFormat="1" ht="12" thickBot="1" x14ac:dyDescent="0.3">
      <c r="A89" s="423" t="s">
        <v>815</v>
      </c>
      <c r="B89" s="423" t="s">
        <v>373</v>
      </c>
      <c r="C89" s="201">
        <v>-2174197</v>
      </c>
      <c r="D89" s="201">
        <v>-1009021</v>
      </c>
      <c r="E89" s="201">
        <v>-28629</v>
      </c>
      <c r="F89" s="398">
        <f t="shared" si="14"/>
        <v>-3211847</v>
      </c>
      <c r="H89" s="201">
        <v>-852544</v>
      </c>
      <c r="I89" s="201">
        <v>-420294</v>
      </c>
      <c r="J89" s="201">
        <v>-19176</v>
      </c>
      <c r="K89" s="398">
        <f t="shared" si="13"/>
        <v>-1292014</v>
      </c>
    </row>
    <row r="90" spans="1:11" s="411" customFormat="1" ht="11.25" x14ac:dyDescent="0.25">
      <c r="A90" s="995" t="s">
        <v>111</v>
      </c>
      <c r="B90" s="995" t="s">
        <v>374</v>
      </c>
      <c r="C90" s="899">
        <f>SUM(C88:C89)</f>
        <v>1913392</v>
      </c>
      <c r="D90" s="899">
        <f t="shared" ref="D90:E90" si="15">SUM(D88:D89)</f>
        <v>664581</v>
      </c>
      <c r="E90" s="899">
        <f t="shared" si="15"/>
        <v>9279</v>
      </c>
      <c r="F90" s="899">
        <f t="shared" si="14"/>
        <v>2587252</v>
      </c>
      <c r="H90" s="899">
        <f>SUM(H88:H89)</f>
        <v>571478</v>
      </c>
      <c r="I90" s="899">
        <f t="shared" ref="I90:J90" si="16">SUM(I88:I89)</f>
        <v>148376</v>
      </c>
      <c r="J90" s="899">
        <f t="shared" si="16"/>
        <v>2745</v>
      </c>
      <c r="K90" s="899">
        <f t="shared" si="13"/>
        <v>722599</v>
      </c>
    </row>
    <row r="91" spans="1:11" s="411" customFormat="1" ht="11.25" x14ac:dyDescent="0.25">
      <c r="A91" s="387"/>
      <c r="B91" s="387"/>
      <c r="C91" s="1262"/>
      <c r="D91" s="1262"/>
      <c r="E91" s="1262"/>
      <c r="F91" s="1262"/>
      <c r="H91" s="1262"/>
      <c r="I91" s="1262"/>
      <c r="J91" s="1262"/>
      <c r="K91" s="1262"/>
    </row>
    <row r="92" spans="1:11" s="411" customFormat="1" ht="11.25" x14ac:dyDescent="0.25">
      <c r="A92" s="468" t="s">
        <v>121</v>
      </c>
      <c r="B92" s="468" t="s">
        <v>489</v>
      </c>
      <c r="C92" s="469"/>
      <c r="D92" s="469"/>
      <c r="E92" s="469"/>
      <c r="F92" s="1262"/>
      <c r="H92" s="469"/>
      <c r="I92" s="469"/>
      <c r="J92" s="469"/>
      <c r="K92" s="1262"/>
    </row>
    <row r="93" spans="1:11" s="411" customFormat="1" ht="11.25" x14ac:dyDescent="0.25">
      <c r="A93" s="468"/>
      <c r="B93" s="468"/>
      <c r="C93" s="469"/>
      <c r="D93" s="469"/>
      <c r="E93" s="469"/>
      <c r="F93" s="1262"/>
      <c r="H93" s="469"/>
      <c r="I93" s="469"/>
      <c r="J93" s="469"/>
      <c r="K93" s="1262"/>
    </row>
    <row r="94" spans="1:11" s="411" customFormat="1" ht="11.25" x14ac:dyDescent="0.25">
      <c r="A94" s="1263" t="s">
        <v>800</v>
      </c>
      <c r="B94" s="1263" t="s">
        <v>801</v>
      </c>
      <c r="C94" s="1262"/>
      <c r="D94" s="1262"/>
      <c r="E94" s="1262"/>
      <c r="F94" s="1262"/>
      <c r="H94" s="1262"/>
      <c r="I94" s="1262"/>
      <c r="J94" s="1262"/>
      <c r="K94" s="1262"/>
    </row>
    <row r="95" spans="1:11" s="411" customFormat="1" ht="11.25" x14ac:dyDescent="0.25">
      <c r="A95" s="292" t="s">
        <v>109</v>
      </c>
      <c r="B95" s="292" t="s">
        <v>287</v>
      </c>
      <c r="C95" s="229">
        <v>1151577</v>
      </c>
      <c r="D95" s="229">
        <v>755462</v>
      </c>
      <c r="E95" s="229">
        <v>26403</v>
      </c>
      <c r="F95" s="404">
        <v>1933442</v>
      </c>
      <c r="G95" s="437"/>
      <c r="H95" s="229">
        <v>127520</v>
      </c>
      <c r="I95" s="229">
        <v>152449</v>
      </c>
      <c r="J95" s="229">
        <v>13030</v>
      </c>
      <c r="K95" s="404">
        <f t="shared" si="13"/>
        <v>292999</v>
      </c>
    </row>
    <row r="96" spans="1:11" s="411" customFormat="1" ht="12" thickBot="1" x14ac:dyDescent="0.3">
      <c r="A96" s="423" t="s">
        <v>815</v>
      </c>
      <c r="B96" s="423" t="s">
        <v>373</v>
      </c>
      <c r="C96" s="201">
        <v>-324536</v>
      </c>
      <c r="D96" s="201">
        <v>-347718</v>
      </c>
      <c r="E96" s="201">
        <v>-16092</v>
      </c>
      <c r="F96" s="398">
        <v>-688346</v>
      </c>
      <c r="H96" s="201">
        <v>-42065</v>
      </c>
      <c r="I96" s="201">
        <v>-113718</v>
      </c>
      <c r="J96" s="201">
        <v>-9822</v>
      </c>
      <c r="K96" s="398">
        <f t="shared" si="13"/>
        <v>-165605</v>
      </c>
    </row>
    <row r="97" spans="1:19" s="411" customFormat="1" ht="11.25" x14ac:dyDescent="0.25">
      <c r="A97" s="995" t="s">
        <v>111</v>
      </c>
      <c r="B97" s="995" t="s">
        <v>289</v>
      </c>
      <c r="C97" s="899">
        <v>827041</v>
      </c>
      <c r="D97" s="899">
        <v>407744</v>
      </c>
      <c r="E97" s="899">
        <v>10311</v>
      </c>
      <c r="F97" s="899">
        <v>1245096</v>
      </c>
      <c r="H97" s="899">
        <v>85455</v>
      </c>
      <c r="I97" s="899">
        <v>38731</v>
      </c>
      <c r="J97" s="899">
        <v>3208</v>
      </c>
      <c r="K97" s="899">
        <f t="shared" si="13"/>
        <v>127394</v>
      </c>
    </row>
    <row r="98" spans="1:19" s="411" customFormat="1" ht="11.25" x14ac:dyDescent="0.25">
      <c r="A98" s="1263"/>
      <c r="B98" s="1263"/>
      <c r="C98" s="284"/>
      <c r="D98" s="284"/>
      <c r="E98" s="284"/>
      <c r="F98" s="284"/>
      <c r="H98" s="284"/>
      <c r="I98" s="284"/>
      <c r="J98" s="284"/>
      <c r="K98" s="284"/>
    </row>
    <row r="99" spans="1:19" s="411" customFormat="1" ht="11.25" x14ac:dyDescent="0.25">
      <c r="A99" s="1263" t="s">
        <v>955</v>
      </c>
      <c r="B99" s="1263" t="s">
        <v>956</v>
      </c>
      <c r="C99" s="1262"/>
      <c r="D99" s="1262"/>
      <c r="E99" s="1262"/>
      <c r="F99" s="1262"/>
      <c r="H99" s="1262"/>
      <c r="I99" s="1262"/>
      <c r="J99" s="1262"/>
      <c r="K99" s="1262"/>
    </row>
    <row r="100" spans="1:19" s="411" customFormat="1" ht="11.25" x14ac:dyDescent="0.25">
      <c r="A100" s="292" t="s">
        <v>109</v>
      </c>
      <c r="B100" s="292" t="s">
        <v>287</v>
      </c>
      <c r="C100" s="229">
        <v>1200277</v>
      </c>
      <c r="D100" s="229">
        <v>785849</v>
      </c>
      <c r="E100" s="229">
        <v>33994</v>
      </c>
      <c r="F100" s="404">
        <f t="shared" ref="F100:F102" si="17">SUM(C100:E100)</f>
        <v>2020120</v>
      </c>
      <c r="G100" s="437"/>
      <c r="H100" s="229">
        <v>129353</v>
      </c>
      <c r="I100" s="229">
        <v>169405</v>
      </c>
      <c r="J100" s="229">
        <v>13096</v>
      </c>
      <c r="K100" s="404">
        <f t="shared" si="13"/>
        <v>311854</v>
      </c>
    </row>
    <row r="101" spans="1:19" s="411" customFormat="1" ht="12" thickBot="1" x14ac:dyDescent="0.3">
      <c r="A101" s="423" t="s">
        <v>815</v>
      </c>
      <c r="B101" s="423" t="s">
        <v>373</v>
      </c>
      <c r="C101" s="201">
        <v>-330719</v>
      </c>
      <c r="D101" s="201">
        <v>-354280</v>
      </c>
      <c r="E101" s="201">
        <v>-17739</v>
      </c>
      <c r="F101" s="398">
        <f t="shared" si="17"/>
        <v>-702738</v>
      </c>
      <c r="H101" s="201">
        <v>-59492</v>
      </c>
      <c r="I101" s="201">
        <v>-120245</v>
      </c>
      <c r="J101" s="201">
        <v>-10378</v>
      </c>
      <c r="K101" s="398">
        <f t="shared" si="13"/>
        <v>-190115</v>
      </c>
    </row>
    <row r="102" spans="1:19" s="411" customFormat="1" ht="12" thickBot="1" x14ac:dyDescent="0.3">
      <c r="A102" s="939" t="s">
        <v>111</v>
      </c>
      <c r="B102" s="939" t="s">
        <v>289</v>
      </c>
      <c r="C102" s="787">
        <f>SUM(C100:C101)</f>
        <v>869558</v>
      </c>
      <c r="D102" s="787">
        <f t="shared" ref="D102:E102" si="18">SUM(D100:D101)</f>
        <v>431569</v>
      </c>
      <c r="E102" s="787">
        <f t="shared" si="18"/>
        <v>16255</v>
      </c>
      <c r="F102" s="787">
        <f t="shared" si="17"/>
        <v>1317382</v>
      </c>
      <c r="H102" s="787">
        <f>SUM(H100:H101)</f>
        <v>69861</v>
      </c>
      <c r="I102" s="787">
        <f t="shared" ref="I102:J102" si="19">SUM(I100:I101)</f>
        <v>49160</v>
      </c>
      <c r="J102" s="787">
        <f t="shared" si="19"/>
        <v>2718</v>
      </c>
      <c r="K102" s="787">
        <f t="shared" si="13"/>
        <v>121739</v>
      </c>
    </row>
    <row r="103" spans="1:19" s="305" customFormat="1" x14ac:dyDescent="0.25">
      <c r="A103" s="1313" t="s">
        <v>1631</v>
      </c>
      <c r="B103" s="1314" t="s">
        <v>1632</v>
      </c>
      <c r="P103" s="411"/>
      <c r="Q103" s="411"/>
      <c r="R103" s="411"/>
      <c r="S103" s="411"/>
    </row>
    <row r="104" spans="1:19" s="305" customFormat="1" ht="15" customHeight="1" x14ac:dyDescent="0.25"/>
    <row r="105" spans="1:19" s="305" customFormat="1" ht="15" customHeight="1" x14ac:dyDescent="0.25"/>
    <row r="106" spans="1:19" s="305" customFormat="1" ht="15" customHeight="1" x14ac:dyDescent="0.25"/>
    <row r="107" spans="1:19" s="305" customFormat="1" x14ac:dyDescent="0.25">
      <c r="C107" s="28"/>
      <c r="D107" s="28"/>
      <c r="E107" s="28"/>
      <c r="F107" s="28"/>
    </row>
    <row r="108" spans="1:19" s="305" customFormat="1" ht="15.75" thickBot="1" x14ac:dyDescent="0.3">
      <c r="A108" s="1293" t="s">
        <v>655</v>
      </c>
      <c r="B108" s="1293" t="s">
        <v>894</v>
      </c>
      <c r="G108" s="441" t="s">
        <v>51</v>
      </c>
    </row>
    <row r="109" spans="1:19" s="305" customFormat="1" ht="22.9" customHeight="1" thickBot="1" x14ac:dyDescent="0.25">
      <c r="A109" s="488"/>
      <c r="B109" s="489"/>
      <c r="C109" s="1483" t="s">
        <v>949</v>
      </c>
      <c r="D109" s="1483"/>
      <c r="E109" s="1294"/>
      <c r="F109" s="1527" t="str">
        <f>I6</f>
        <v>Mātessabiedrība/Parent Company</v>
      </c>
      <c r="G109" s="1483"/>
    </row>
    <row r="110" spans="1:19" s="305" customFormat="1" ht="16.5" customHeight="1" thickBot="1" x14ac:dyDescent="0.3">
      <c r="A110" s="1315"/>
      <c r="B110" s="1315"/>
      <c r="C110" s="1316">
        <v>2017</v>
      </c>
      <c r="D110" s="1317">
        <v>2016</v>
      </c>
      <c r="E110" s="1294"/>
      <c r="F110" s="1316">
        <v>2017</v>
      </c>
      <c r="G110" s="1317">
        <v>2016</v>
      </c>
    </row>
    <row r="111" spans="1:19" s="305" customFormat="1" x14ac:dyDescent="0.25">
      <c r="A111" s="181"/>
      <c r="B111" s="181"/>
      <c r="C111" s="853"/>
      <c r="D111" s="181"/>
      <c r="F111" s="853"/>
      <c r="G111" s="181"/>
    </row>
    <row r="112" spans="1:19" s="305" customFormat="1" ht="22.5" x14ac:dyDescent="0.2">
      <c r="A112" s="214" t="s">
        <v>1633</v>
      </c>
      <c r="B112" s="481" t="s">
        <v>1634</v>
      </c>
      <c r="C112" s="1318">
        <v>45779</v>
      </c>
      <c r="D112" s="1123">
        <v>47233</v>
      </c>
      <c r="F112" s="1318">
        <v>15922</v>
      </c>
      <c r="G112" s="1123">
        <v>15432</v>
      </c>
    </row>
    <row r="113" spans="1:7" s="305" customFormat="1" x14ac:dyDescent="0.2">
      <c r="A113" s="191" t="s">
        <v>900</v>
      </c>
      <c r="B113" s="471" t="s">
        <v>660</v>
      </c>
      <c r="C113" s="1319"/>
      <c r="D113" s="1320"/>
      <c r="F113" s="1319"/>
      <c r="G113" s="1320"/>
    </row>
    <row r="114" spans="1:7" s="305" customFormat="1" x14ac:dyDescent="0.2">
      <c r="A114" s="179" t="s">
        <v>656</v>
      </c>
      <c r="B114" s="482" t="s">
        <v>661</v>
      </c>
      <c r="C114" s="1321">
        <v>43911</v>
      </c>
      <c r="D114" s="545">
        <v>45371</v>
      </c>
      <c r="F114" s="1321" t="s">
        <v>572</v>
      </c>
      <c r="G114" s="545" t="s">
        <v>572</v>
      </c>
    </row>
    <row r="115" spans="1:7" s="305" customFormat="1" x14ac:dyDescent="0.2">
      <c r="A115" s="472"/>
      <c r="B115" s="473"/>
      <c r="C115" s="1322"/>
      <c r="D115" s="1323"/>
      <c r="F115" s="1322"/>
      <c r="G115" s="1323"/>
    </row>
    <row r="116" spans="1:7" s="305" customFormat="1" ht="23.25" thickBot="1" x14ac:dyDescent="0.25">
      <c r="A116" s="376" t="s">
        <v>1421</v>
      </c>
      <c r="B116" s="470" t="s">
        <v>1422</v>
      </c>
      <c r="C116" s="1324">
        <v>1577</v>
      </c>
      <c r="D116" s="1325">
        <v>1274</v>
      </c>
      <c r="F116" s="1324">
        <v>1267</v>
      </c>
      <c r="G116" s="1325">
        <v>1296</v>
      </c>
    </row>
    <row r="117" spans="1:7" s="305" customFormat="1" x14ac:dyDescent="0.25">
      <c r="A117" s="474"/>
      <c r="B117" s="474"/>
      <c r="C117" s="475"/>
      <c r="D117" s="475"/>
    </row>
    <row r="118" spans="1:7" s="305" customFormat="1" ht="48.75" thickBot="1" x14ac:dyDescent="0.3">
      <c r="A118" s="476" t="s">
        <v>1424</v>
      </c>
      <c r="B118" s="477" t="s">
        <v>1423</v>
      </c>
      <c r="C118" s="475"/>
      <c r="D118" s="475"/>
      <c r="G118" s="443" t="s">
        <v>51</v>
      </c>
    </row>
    <row r="119" spans="1:7" s="305" customFormat="1" ht="30" customHeight="1" thickBot="1" x14ac:dyDescent="0.25">
      <c r="A119" s="488"/>
      <c r="B119" s="489"/>
      <c r="C119" s="1483" t="s">
        <v>949</v>
      </c>
      <c r="D119" s="1483"/>
      <c r="E119" s="1294"/>
      <c r="F119" s="1527" t="str">
        <f>I6</f>
        <v>Mātessabiedrība/Parent Company</v>
      </c>
      <c r="G119" s="1483"/>
    </row>
    <row r="120" spans="1:7" s="305" customFormat="1" ht="22.9" customHeight="1" thickBot="1" x14ac:dyDescent="0.3">
      <c r="A120" s="1315"/>
      <c r="B120" s="1315"/>
      <c r="C120" s="1316">
        <v>2017</v>
      </c>
      <c r="D120" s="1317">
        <v>2016</v>
      </c>
      <c r="E120" s="1326"/>
      <c r="F120" s="1316">
        <v>2017</v>
      </c>
      <c r="G120" s="1317">
        <v>2016</v>
      </c>
    </row>
    <row r="121" spans="1:7" s="305" customFormat="1" x14ac:dyDescent="0.25">
      <c r="A121" s="181"/>
      <c r="B121" s="181"/>
      <c r="C121" s="853"/>
      <c r="D121" s="181"/>
      <c r="F121" s="853"/>
      <c r="G121" s="181"/>
    </row>
    <row r="122" spans="1:7" s="305" customFormat="1" x14ac:dyDescent="0.25">
      <c r="A122" s="312" t="s">
        <v>607</v>
      </c>
      <c r="B122" s="471" t="s">
        <v>604</v>
      </c>
      <c r="C122" s="858">
        <v>41149</v>
      </c>
      <c r="D122" s="96">
        <v>48206</v>
      </c>
      <c r="F122" s="858">
        <v>17118</v>
      </c>
      <c r="G122" s="96">
        <v>17779</v>
      </c>
    </row>
    <row r="123" spans="1:7" s="305" customFormat="1" x14ac:dyDescent="0.25">
      <c r="A123" s="248" t="s">
        <v>608</v>
      </c>
      <c r="B123" s="480" t="s">
        <v>605</v>
      </c>
      <c r="C123" s="780">
        <v>199012</v>
      </c>
      <c r="D123" s="190">
        <v>195914</v>
      </c>
      <c r="F123" s="780">
        <v>66924</v>
      </c>
      <c r="G123" s="190">
        <v>70163</v>
      </c>
    </row>
    <row r="124" spans="1:7" s="305" customFormat="1" ht="15.75" thickBot="1" x14ac:dyDescent="0.3">
      <c r="A124" s="253" t="s">
        <v>609</v>
      </c>
      <c r="B124" s="256" t="s">
        <v>606</v>
      </c>
      <c r="C124" s="782">
        <v>244546</v>
      </c>
      <c r="D124" s="226">
        <v>240732</v>
      </c>
      <c r="F124" s="782">
        <v>93694</v>
      </c>
      <c r="G124" s="226">
        <v>98228</v>
      </c>
    </row>
    <row r="125" spans="1:7" s="305" customFormat="1" ht="15.75" thickBot="1" x14ac:dyDescent="0.3">
      <c r="A125" s="1007" t="s">
        <v>657</v>
      </c>
      <c r="B125" s="1008" t="s">
        <v>662</v>
      </c>
      <c r="C125" s="784">
        <v>484707</v>
      </c>
      <c r="D125" s="328">
        <v>484852</v>
      </c>
      <c r="F125" s="784">
        <v>177736</v>
      </c>
      <c r="G125" s="328">
        <v>186170</v>
      </c>
    </row>
    <row r="126" spans="1:7" s="305" customFormat="1" x14ac:dyDescent="0.25">
      <c r="A126" s="474"/>
      <c r="B126" s="474"/>
      <c r="C126" s="475"/>
      <c r="D126" s="475"/>
    </row>
    <row r="127" spans="1:7" s="305" customFormat="1" ht="60" x14ac:dyDescent="0.25">
      <c r="A127" s="478" t="s">
        <v>658</v>
      </c>
      <c r="B127" s="479" t="s">
        <v>663</v>
      </c>
      <c r="C127" s="475"/>
      <c r="D127" s="475"/>
    </row>
    <row r="128" spans="1:7" s="305" customFormat="1" x14ac:dyDescent="0.25">
      <c r="A128" s="474"/>
      <c r="B128" s="474"/>
      <c r="C128" s="475"/>
      <c r="D128" s="475"/>
    </row>
    <row r="129" spans="1:7" s="305" customFormat="1" ht="48.75" thickBot="1" x14ac:dyDescent="0.3">
      <c r="A129" s="492" t="s">
        <v>1425</v>
      </c>
      <c r="B129" s="493" t="s">
        <v>1426</v>
      </c>
      <c r="C129" s="475"/>
      <c r="D129" s="475"/>
      <c r="G129" s="443" t="s">
        <v>51</v>
      </c>
    </row>
    <row r="130" spans="1:7" s="305" customFormat="1" ht="30" customHeight="1" thickBot="1" x14ac:dyDescent="0.25">
      <c r="A130" s="488"/>
      <c r="B130" s="489"/>
      <c r="C130" s="1483" t="s">
        <v>949</v>
      </c>
      <c r="D130" s="1483"/>
      <c r="E130" s="1294"/>
      <c r="F130" s="1527" t="str">
        <f>F119</f>
        <v>Mātessabiedrība/Parent Company</v>
      </c>
      <c r="G130" s="1483"/>
    </row>
    <row r="131" spans="1:7" s="305" customFormat="1" ht="15.75" thickBot="1" x14ac:dyDescent="0.3">
      <c r="A131" s="1315"/>
      <c r="B131" s="1315"/>
      <c r="C131" s="942">
        <v>2017</v>
      </c>
      <c r="D131" s="373">
        <v>2016</v>
      </c>
      <c r="F131" s="942">
        <v>2017</v>
      </c>
      <c r="G131" s="373">
        <v>2016</v>
      </c>
    </row>
    <row r="132" spans="1:7" s="305" customFormat="1" x14ac:dyDescent="0.25">
      <c r="A132" s="181"/>
      <c r="B132" s="181"/>
      <c r="C132" s="853"/>
      <c r="D132" s="181"/>
      <c r="F132" s="853"/>
      <c r="G132" s="181"/>
    </row>
    <row r="133" spans="1:7" s="305" customFormat="1" x14ac:dyDescent="0.25">
      <c r="A133" s="312" t="s">
        <v>607</v>
      </c>
      <c r="B133" s="471" t="s">
        <v>604</v>
      </c>
      <c r="C133" s="858">
        <v>1628</v>
      </c>
      <c r="D133" s="96">
        <v>1420</v>
      </c>
      <c r="F133" s="858">
        <v>1418</v>
      </c>
      <c r="G133" s="96">
        <v>1350</v>
      </c>
    </row>
    <row r="134" spans="1:7" s="305" customFormat="1" x14ac:dyDescent="0.25">
      <c r="A134" s="248" t="s">
        <v>608</v>
      </c>
      <c r="B134" s="480" t="s">
        <v>605</v>
      </c>
      <c r="C134" s="780">
        <v>6512</v>
      </c>
      <c r="D134" s="190">
        <v>6018</v>
      </c>
      <c r="F134" s="780">
        <v>5672</v>
      </c>
      <c r="G134" s="190">
        <v>6453</v>
      </c>
    </row>
    <row r="135" spans="1:7" s="305" customFormat="1" ht="15.75" thickBot="1" x14ac:dyDescent="0.3">
      <c r="A135" s="253" t="s">
        <v>609</v>
      </c>
      <c r="B135" s="256" t="s">
        <v>606</v>
      </c>
      <c r="C135" s="782">
        <v>9768</v>
      </c>
      <c r="D135" s="226">
        <v>9038</v>
      </c>
      <c r="F135" s="782">
        <v>9075</v>
      </c>
      <c r="G135" s="226">
        <v>10325</v>
      </c>
    </row>
    <row r="136" spans="1:7" s="305" customFormat="1" ht="15.75" thickBot="1" x14ac:dyDescent="0.3">
      <c r="A136" s="1007" t="s">
        <v>659</v>
      </c>
      <c r="B136" s="1008" t="s">
        <v>664</v>
      </c>
      <c r="C136" s="784">
        <v>17908</v>
      </c>
      <c r="D136" s="328">
        <v>16476</v>
      </c>
      <c r="F136" s="784">
        <v>16165</v>
      </c>
      <c r="G136" s="328">
        <v>18128</v>
      </c>
    </row>
    <row r="137" spans="1:7" s="305" customFormat="1" x14ac:dyDescent="0.25"/>
    <row r="138" spans="1:7" s="305" customFormat="1" x14ac:dyDescent="0.25"/>
    <row r="139" spans="1:7" s="305" customFormat="1" x14ac:dyDescent="0.25"/>
    <row r="140" spans="1:7" s="305" customFormat="1" x14ac:dyDescent="0.25"/>
    <row r="141" spans="1:7" s="305" customFormat="1" x14ac:dyDescent="0.25"/>
    <row r="142" spans="1:7" s="305" customFormat="1" x14ac:dyDescent="0.25"/>
    <row r="143" spans="1:7" s="305" customFormat="1" x14ac:dyDescent="0.25"/>
    <row r="144" spans="1:7" s="305" customFormat="1" x14ac:dyDescent="0.25"/>
    <row r="145" s="305" customFormat="1" x14ac:dyDescent="0.25"/>
    <row r="146" s="305" customFormat="1" x14ac:dyDescent="0.25"/>
    <row r="147" s="305" customFormat="1" x14ac:dyDescent="0.25"/>
    <row r="148" s="305" customFormat="1" x14ac:dyDescent="0.25"/>
    <row r="149" s="305" customFormat="1" x14ac:dyDescent="0.25"/>
    <row r="150" s="305" customFormat="1" x14ac:dyDescent="0.25"/>
    <row r="151" s="305" customFormat="1" x14ac:dyDescent="0.25"/>
    <row r="152" s="305" customFormat="1" x14ac:dyDescent="0.25"/>
    <row r="153" s="305" customFormat="1" x14ac:dyDescent="0.25"/>
    <row r="154" s="305" customFormat="1" x14ac:dyDescent="0.25"/>
    <row r="155" s="305" customFormat="1" x14ac:dyDescent="0.25"/>
    <row r="156" s="305" customFormat="1" x14ac:dyDescent="0.25"/>
    <row r="157" s="305" customFormat="1" x14ac:dyDescent="0.25"/>
  </sheetData>
  <sheetProtection algorithmName="SHA-512" hashValue="VH7IphvyNyui7i3g2YvsiCPcI8au2cIdCepyIITyw+EhInv8rhhafQQfHon5DqXINE0NQFhRNBw3SnG6ZDLbQA==" saltValue="pydhsnpCaru2oLeWxYQv8A==" spinCount="100000" sheet="1" objects="1" scenarios="1"/>
  <mergeCells count="23">
    <mergeCell ref="C130:D130"/>
    <mergeCell ref="F130:G130"/>
    <mergeCell ref="C74:F74"/>
    <mergeCell ref="C109:D109"/>
    <mergeCell ref="F109:G109"/>
    <mergeCell ref="C119:D119"/>
    <mergeCell ref="F119:G119"/>
    <mergeCell ref="A75:B78"/>
    <mergeCell ref="C75:F75"/>
    <mergeCell ref="C77:F77"/>
    <mergeCell ref="H77:K77"/>
    <mergeCell ref="C6:G6"/>
    <mergeCell ref="I6:M6"/>
    <mergeCell ref="C54:D54"/>
    <mergeCell ref="F54:K54"/>
    <mergeCell ref="C55:D55"/>
    <mergeCell ref="F55:G55"/>
    <mergeCell ref="H55:I55"/>
    <mergeCell ref="J55:K55"/>
    <mergeCell ref="C56:D56"/>
    <mergeCell ref="F56:G56"/>
    <mergeCell ref="H56:I56"/>
    <mergeCell ref="J56:K56"/>
  </mergeCells>
  <pageMargins left="0" right="0" top="0.94488188976377963" bottom="0.55118110236220474" header="0.31496062992125984" footer="0.31496062992125984"/>
  <pageSetup paperSize="9" scale="50" orientation="landscape" r:id="rId1"/>
  <rowBreaks count="1" manualBreakCount="1">
    <brk id="4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zoomScaleNormal="100" workbookViewId="0">
      <pane ySplit="2" topLeftCell="A3" activePane="bottomLeft" state="frozen"/>
      <selection pane="bottomLeft" activeCell="A3" sqref="A3"/>
    </sheetView>
  </sheetViews>
  <sheetFormatPr defaultColWidth="9.140625" defaultRowHeight="15" outlineLevelRow="1" outlineLevelCol="1" x14ac:dyDescent="0.25"/>
  <cols>
    <col min="1" max="1" width="47" style="28" customWidth="1"/>
    <col min="2" max="2" width="35.85546875" style="28" customWidth="1" outlineLevel="1"/>
    <col min="3" max="3" width="15.42578125" style="28" customWidth="1"/>
    <col min="4" max="4" width="12.85546875" style="28" customWidth="1"/>
    <col min="5" max="5" width="10.42578125" style="28" bestFit="1" customWidth="1"/>
    <col min="6" max="6" width="10.7109375" style="28" customWidth="1"/>
    <col min="7" max="7" width="11.7109375" style="28" customWidth="1"/>
    <col min="8" max="10" width="10.140625" style="28" bestFit="1" customWidth="1"/>
    <col min="11" max="16384" width="9.140625" style="28"/>
  </cols>
  <sheetData>
    <row r="1" spans="1:8" x14ac:dyDescent="0.25">
      <c r="A1" s="27" t="s">
        <v>1727</v>
      </c>
      <c r="B1" s="27" t="s">
        <v>1728</v>
      </c>
    </row>
    <row r="2" spans="1:8" x14ac:dyDescent="0.25">
      <c r="A2" s="27" t="s">
        <v>970</v>
      </c>
      <c r="B2" s="27" t="s">
        <v>969</v>
      </c>
    </row>
    <row r="3" spans="1:8" x14ac:dyDescent="0.25">
      <c r="A3" s="27"/>
      <c r="B3" s="27"/>
    </row>
    <row r="4" spans="1:8" s="30" customFormat="1" ht="15.75" x14ac:dyDescent="0.25">
      <c r="A4" s="29" t="s">
        <v>977</v>
      </c>
      <c r="B4" s="29" t="s">
        <v>1725</v>
      </c>
    </row>
    <row r="5" spans="1:8" s="30" customFormat="1" ht="15.75" x14ac:dyDescent="0.25">
      <c r="A5" s="29"/>
      <c r="B5" s="29"/>
    </row>
    <row r="6" spans="1:8" s="33" customFormat="1" ht="39" thickBot="1" x14ac:dyDescent="0.3">
      <c r="A6" s="1327" t="s">
        <v>1635</v>
      </c>
      <c r="B6" s="1327" t="s">
        <v>1636</v>
      </c>
    </row>
    <row r="7" spans="1:8" s="31" customFormat="1" ht="12.75" thickBot="1" x14ac:dyDescent="0.3">
      <c r="A7" s="1530" t="s">
        <v>971</v>
      </c>
      <c r="B7" s="1530" t="s">
        <v>972</v>
      </c>
      <c r="C7" s="1532" t="s">
        <v>375</v>
      </c>
      <c r="D7" s="1534" t="s">
        <v>376</v>
      </c>
      <c r="E7" s="1536" t="s">
        <v>957</v>
      </c>
      <c r="F7" s="1536"/>
      <c r="G7" s="1529" t="s">
        <v>819</v>
      </c>
      <c r="H7" s="1529"/>
    </row>
    <row r="8" spans="1:8" s="31" customFormat="1" ht="25.15" customHeight="1" thickBot="1" x14ac:dyDescent="0.3">
      <c r="A8" s="1531"/>
      <c r="B8" s="1531"/>
      <c r="C8" s="1533"/>
      <c r="D8" s="1535"/>
      <c r="E8" s="1328" t="s">
        <v>973</v>
      </c>
      <c r="F8" s="1328" t="s">
        <v>51</v>
      </c>
      <c r="G8" s="1329" t="s">
        <v>973</v>
      </c>
      <c r="H8" s="1329" t="s">
        <v>51</v>
      </c>
    </row>
    <row r="9" spans="1:8" s="31" customFormat="1" ht="11.25" x14ac:dyDescent="0.25">
      <c r="A9" s="2" t="s">
        <v>125</v>
      </c>
      <c r="B9" s="2" t="s">
        <v>306</v>
      </c>
      <c r="C9" s="19"/>
      <c r="D9" s="19"/>
      <c r="E9" s="1009"/>
      <c r="F9" s="1009"/>
      <c r="G9" s="21"/>
      <c r="H9" s="21"/>
    </row>
    <row r="10" spans="1:8" s="31" customFormat="1" ht="19.5" x14ac:dyDescent="0.25">
      <c r="A10" s="1539" t="s">
        <v>126</v>
      </c>
      <c r="B10" s="1539" t="s">
        <v>307</v>
      </c>
      <c r="C10" s="34" t="s">
        <v>127</v>
      </c>
      <c r="D10" s="1330" t="s">
        <v>745</v>
      </c>
      <c r="E10" s="1541">
        <v>1</v>
      </c>
      <c r="F10" s="1543">
        <v>185624</v>
      </c>
      <c r="G10" s="1545">
        <v>1</v>
      </c>
      <c r="H10" s="1547">
        <v>185624</v>
      </c>
    </row>
    <row r="11" spans="1:8" s="31" customFormat="1" ht="30" thickBot="1" x14ac:dyDescent="0.3">
      <c r="A11" s="1540"/>
      <c r="B11" s="1540" t="s">
        <v>307</v>
      </c>
      <c r="C11" s="79" t="s">
        <v>490</v>
      </c>
      <c r="D11" s="1331" t="s">
        <v>746</v>
      </c>
      <c r="E11" s="1542"/>
      <c r="F11" s="1544"/>
      <c r="G11" s="1546"/>
      <c r="H11" s="1548"/>
    </row>
    <row r="12" spans="1:8" s="31" customFormat="1" ht="19.5" x14ac:dyDescent="0.25">
      <c r="A12" s="1549" t="s">
        <v>128</v>
      </c>
      <c r="B12" s="1549" t="s">
        <v>308</v>
      </c>
      <c r="C12" s="80" t="s">
        <v>127</v>
      </c>
      <c r="D12" s="1332" t="s">
        <v>129</v>
      </c>
      <c r="E12" s="1550">
        <v>1</v>
      </c>
      <c r="F12" s="1552">
        <v>627656</v>
      </c>
      <c r="G12" s="1554">
        <v>1</v>
      </c>
      <c r="H12" s="1537">
        <v>627656</v>
      </c>
    </row>
    <row r="13" spans="1:8" s="31" customFormat="1" ht="20.25" thickBot="1" x14ac:dyDescent="0.3">
      <c r="A13" s="1540"/>
      <c r="B13" s="1540"/>
      <c r="C13" s="16" t="s">
        <v>490</v>
      </c>
      <c r="D13" s="1333" t="s">
        <v>491</v>
      </c>
      <c r="E13" s="1551"/>
      <c r="F13" s="1553"/>
      <c r="G13" s="1555"/>
      <c r="H13" s="1538"/>
    </row>
    <row r="14" spans="1:8" s="31" customFormat="1" ht="29.25" x14ac:dyDescent="0.25">
      <c r="A14" s="1549" t="s">
        <v>1637</v>
      </c>
      <c r="B14" s="1549" t="s">
        <v>974</v>
      </c>
      <c r="C14" s="80" t="s">
        <v>127</v>
      </c>
      <c r="D14" s="1332" t="s">
        <v>573</v>
      </c>
      <c r="E14" s="1550">
        <v>1</v>
      </c>
      <c r="F14" s="1558">
        <v>40</v>
      </c>
      <c r="G14" s="1554">
        <v>1</v>
      </c>
      <c r="H14" s="1556">
        <v>40</v>
      </c>
    </row>
    <row r="15" spans="1:8" s="31" customFormat="1" ht="39.75" thickBot="1" x14ac:dyDescent="0.3">
      <c r="A15" s="1540"/>
      <c r="B15" s="1540"/>
      <c r="C15" s="16" t="s">
        <v>490</v>
      </c>
      <c r="D15" s="1333" t="s">
        <v>574</v>
      </c>
      <c r="E15" s="1551"/>
      <c r="F15" s="1559"/>
      <c r="G15" s="1555"/>
      <c r="H15" s="1557"/>
    </row>
    <row r="16" spans="1:8" s="31" customFormat="1" ht="19.5" x14ac:dyDescent="0.25">
      <c r="A16" s="1560" t="s">
        <v>734</v>
      </c>
      <c r="B16" s="1549" t="s">
        <v>734</v>
      </c>
      <c r="C16" s="80" t="s">
        <v>130</v>
      </c>
      <c r="D16" s="1332" t="s">
        <v>131</v>
      </c>
      <c r="E16" s="1550">
        <v>1</v>
      </c>
      <c r="F16" s="1558">
        <v>35</v>
      </c>
      <c r="G16" s="1554">
        <v>1</v>
      </c>
      <c r="H16" s="1556">
        <v>35</v>
      </c>
    </row>
    <row r="17" spans="1:9" s="31" customFormat="1" ht="12" thickBot="1" x14ac:dyDescent="0.3">
      <c r="A17" s="1561"/>
      <c r="B17" s="1540"/>
      <c r="C17" s="16" t="s">
        <v>493</v>
      </c>
      <c r="D17" s="1333" t="s">
        <v>494</v>
      </c>
      <c r="E17" s="1551"/>
      <c r="F17" s="1559"/>
      <c r="G17" s="1555"/>
      <c r="H17" s="1557"/>
    </row>
    <row r="18" spans="1:9" s="31" customFormat="1" ht="19.5" x14ac:dyDescent="0.25">
      <c r="A18" s="1560" t="s">
        <v>654</v>
      </c>
      <c r="B18" s="1549" t="s">
        <v>654</v>
      </c>
      <c r="C18" s="80" t="s">
        <v>132</v>
      </c>
      <c r="D18" s="1332" t="s">
        <v>131</v>
      </c>
      <c r="E18" s="1550">
        <v>1</v>
      </c>
      <c r="F18" s="1558">
        <v>98</v>
      </c>
      <c r="G18" s="1554">
        <v>1</v>
      </c>
      <c r="H18" s="1556">
        <v>98</v>
      </c>
    </row>
    <row r="19" spans="1:9" s="31" customFormat="1" ht="12" thickBot="1" x14ac:dyDescent="0.3">
      <c r="A19" s="1561"/>
      <c r="B19" s="1540"/>
      <c r="C19" s="16" t="s">
        <v>492</v>
      </c>
      <c r="D19" s="1333" t="s">
        <v>494</v>
      </c>
      <c r="E19" s="1551"/>
      <c r="F19" s="1559"/>
      <c r="G19" s="1555"/>
      <c r="H19" s="1557"/>
    </row>
    <row r="20" spans="1:9" s="31" customFormat="1" ht="39" x14ac:dyDescent="0.25">
      <c r="A20" s="1549" t="s">
        <v>133</v>
      </c>
      <c r="B20" s="1549" t="s">
        <v>309</v>
      </c>
      <c r="C20" s="80" t="s">
        <v>127</v>
      </c>
      <c r="D20" s="1332" t="s">
        <v>975</v>
      </c>
      <c r="E20" s="1550">
        <v>0.51</v>
      </c>
      <c r="F20" s="1552">
        <v>3556</v>
      </c>
      <c r="G20" s="1554">
        <v>0.51</v>
      </c>
      <c r="H20" s="1537">
        <v>3556</v>
      </c>
    </row>
    <row r="21" spans="1:9" s="31" customFormat="1" ht="49.5" thickBot="1" x14ac:dyDescent="0.3">
      <c r="A21" s="1563"/>
      <c r="B21" s="1563"/>
      <c r="C21" s="81" t="s">
        <v>490</v>
      </c>
      <c r="D21" s="1334" t="s">
        <v>495</v>
      </c>
      <c r="E21" s="1564"/>
      <c r="F21" s="1565"/>
      <c r="G21" s="1566"/>
      <c r="H21" s="1562"/>
    </row>
    <row r="22" spans="1:9" s="500" customFormat="1" ht="12.75" x14ac:dyDescent="0.2">
      <c r="A22" s="224" t="s">
        <v>50</v>
      </c>
      <c r="B22" s="224" t="s">
        <v>277</v>
      </c>
      <c r="C22" s="1010"/>
      <c r="D22" s="1011"/>
      <c r="E22" s="1012"/>
      <c r="F22" s="1335">
        <f>SUM(F10,F12,F14,F16,F18,F20)</f>
        <v>817009</v>
      </c>
      <c r="G22" s="1336"/>
      <c r="H22" s="1337">
        <f>SUM(H10,H12,H14,H16,H18,H20)</f>
        <v>817009</v>
      </c>
      <c r="I22" s="31"/>
    </row>
    <row r="23" spans="1:9" s="31" customFormat="1" ht="11.25" x14ac:dyDescent="0.25">
      <c r="A23" s="118"/>
      <c r="B23" s="118"/>
      <c r="C23" s="81"/>
      <c r="D23" s="1269"/>
      <c r="E23" s="1268"/>
      <c r="F23" s="1268"/>
      <c r="G23" s="501"/>
      <c r="H23" s="1265"/>
    </row>
    <row r="24" spans="1:9" s="31" customFormat="1" ht="11.25" x14ac:dyDescent="0.25">
      <c r="A24" s="2" t="s">
        <v>575</v>
      </c>
      <c r="B24" s="2" t="s">
        <v>901</v>
      </c>
      <c r="C24" s="81"/>
      <c r="D24" s="1269"/>
      <c r="E24" s="1268"/>
      <c r="F24" s="1268"/>
      <c r="G24" s="1265"/>
      <c r="H24" s="1265"/>
    </row>
    <row r="25" spans="1:9" s="31" customFormat="1" ht="19.5" x14ac:dyDescent="0.25">
      <c r="A25" s="1563" t="s">
        <v>134</v>
      </c>
      <c r="B25" s="1563" t="s">
        <v>310</v>
      </c>
      <c r="C25" s="81" t="s">
        <v>127</v>
      </c>
      <c r="D25" s="1334" t="s">
        <v>135</v>
      </c>
      <c r="E25" s="1569">
        <v>0.46300000000000002</v>
      </c>
      <c r="F25" s="1565">
        <v>37</v>
      </c>
      <c r="G25" s="1570">
        <v>0.46300000000000002</v>
      </c>
      <c r="H25" s="1562">
        <v>37</v>
      </c>
    </row>
    <row r="26" spans="1:9" s="31" customFormat="1" ht="20.25" thickBot="1" x14ac:dyDescent="0.3">
      <c r="A26" s="1563"/>
      <c r="B26" s="1563"/>
      <c r="C26" s="120" t="s">
        <v>490</v>
      </c>
      <c r="D26" s="1338" t="s">
        <v>496</v>
      </c>
      <c r="E26" s="1569"/>
      <c r="F26" s="1553"/>
      <c r="G26" s="1570"/>
      <c r="H26" s="1538"/>
    </row>
    <row r="27" spans="1:9" s="31" customFormat="1" ht="39" x14ac:dyDescent="0.25">
      <c r="A27" s="1549" t="s">
        <v>652</v>
      </c>
      <c r="B27" s="1549" t="s">
        <v>653</v>
      </c>
      <c r="C27" s="121" t="s">
        <v>127</v>
      </c>
      <c r="D27" s="1339" t="s">
        <v>976</v>
      </c>
      <c r="E27" s="1571" t="s">
        <v>577</v>
      </c>
      <c r="F27" s="1573">
        <v>3</v>
      </c>
      <c r="G27" s="1575" t="s">
        <v>577</v>
      </c>
      <c r="H27" s="1567">
        <v>3</v>
      </c>
    </row>
    <row r="28" spans="1:9" s="31" customFormat="1" ht="49.9" customHeight="1" thickBot="1" x14ac:dyDescent="0.3">
      <c r="A28" s="1563"/>
      <c r="B28" s="1563"/>
      <c r="C28" s="120" t="s">
        <v>490</v>
      </c>
      <c r="D28" s="1338" t="s">
        <v>576</v>
      </c>
      <c r="E28" s="1572"/>
      <c r="F28" s="1574"/>
      <c r="G28" s="1576"/>
      <c r="H28" s="1568"/>
    </row>
    <row r="29" spans="1:9" s="500" customFormat="1" ht="13.5" thickBot="1" x14ac:dyDescent="0.25">
      <c r="A29" s="1340" t="s">
        <v>50</v>
      </c>
      <c r="B29" s="1340" t="s">
        <v>277</v>
      </c>
      <c r="C29" s="1341"/>
      <c r="D29" s="1342"/>
      <c r="E29" s="1343"/>
      <c r="F29" s="1344">
        <f>SUM(F25,F27)</f>
        <v>40</v>
      </c>
      <c r="G29" s="1345"/>
      <c r="H29" s="1142">
        <f>SUM(H25,H27)</f>
        <v>40</v>
      </c>
      <c r="I29" s="31"/>
    </row>
    <row r="30" spans="1:9" s="31" customFormat="1" ht="11.25" x14ac:dyDescent="0.25">
      <c r="A30" s="1266"/>
      <c r="B30" s="1266"/>
      <c r="C30" s="81"/>
      <c r="D30" s="1269"/>
      <c r="E30" s="1269"/>
      <c r="F30" s="1269"/>
    </row>
    <row r="31" spans="1:9" ht="101.25" x14ac:dyDescent="0.2">
      <c r="A31" s="1145" t="s">
        <v>1638</v>
      </c>
      <c r="B31" s="32" t="s">
        <v>1639</v>
      </c>
    </row>
    <row r="32" spans="1:9" x14ac:dyDescent="0.2">
      <c r="A32" s="1145"/>
      <c r="B32" s="32"/>
    </row>
    <row r="33" spans="1:10" ht="24.75" x14ac:dyDescent="0.25">
      <c r="A33" s="1346" t="s">
        <v>1382</v>
      </c>
      <c r="B33" s="1346" t="s">
        <v>1640</v>
      </c>
      <c r="E33"/>
      <c r="F33"/>
      <c r="G33"/>
      <c r="H33"/>
      <c r="I33"/>
      <c r="J33"/>
    </row>
    <row r="34" spans="1:10" ht="15.75" thickBot="1" x14ac:dyDescent="0.3">
      <c r="A34" s="28" t="s">
        <v>1383</v>
      </c>
      <c r="B34" s="1093" t="s">
        <v>1372</v>
      </c>
      <c r="C34" s="305"/>
      <c r="D34" s="441" t="s">
        <v>51</v>
      </c>
      <c r="E34"/>
      <c r="F34"/>
      <c r="G34"/>
      <c r="H34"/>
      <c r="I34"/>
      <c r="J34"/>
    </row>
    <row r="35" spans="1:10" ht="15.75" thickBot="1" x14ac:dyDescent="0.3">
      <c r="A35" s="1347"/>
      <c r="B35" s="1348"/>
      <c r="C35" s="1481" t="s">
        <v>1403</v>
      </c>
      <c r="D35" s="1481"/>
      <c r="E35"/>
      <c r="F35"/>
      <c r="G35"/>
      <c r="H35"/>
      <c r="I35"/>
      <c r="J35"/>
    </row>
    <row r="36" spans="1:10" ht="15.75" thickBot="1" x14ac:dyDescent="0.3">
      <c r="A36" s="542"/>
      <c r="B36" s="542"/>
      <c r="C36" s="1316">
        <v>2017</v>
      </c>
      <c r="D36" s="1317">
        <v>2016</v>
      </c>
      <c r="E36"/>
      <c r="F36"/>
      <c r="G36"/>
      <c r="H36"/>
      <c r="I36"/>
      <c r="J36"/>
    </row>
    <row r="37" spans="1:10" x14ac:dyDescent="0.25">
      <c r="A37" s="755"/>
      <c r="B37" s="23"/>
      <c r="C37" s="1349"/>
      <c r="D37" s="1350"/>
      <c r="E37"/>
      <c r="F37"/>
      <c r="G37"/>
      <c r="H37"/>
      <c r="I37"/>
      <c r="J37"/>
    </row>
    <row r="38" spans="1:10" ht="15.75" thickBot="1" x14ac:dyDescent="0.3">
      <c r="A38" s="1121" t="s">
        <v>103</v>
      </c>
      <c r="B38" s="1116" t="s">
        <v>271</v>
      </c>
      <c r="C38" s="1351">
        <v>817009</v>
      </c>
      <c r="D38" s="1352">
        <v>817009</v>
      </c>
      <c r="E38"/>
      <c r="F38"/>
      <c r="G38"/>
      <c r="H38"/>
      <c r="I38"/>
      <c r="J38"/>
    </row>
    <row r="39" spans="1:10" ht="15.75" thickBot="1" x14ac:dyDescent="0.3">
      <c r="A39" s="1270" t="s">
        <v>105</v>
      </c>
      <c r="B39" s="346" t="s">
        <v>273</v>
      </c>
      <c r="C39" s="1351">
        <v>817009</v>
      </c>
      <c r="D39" s="542">
        <v>817009</v>
      </c>
      <c r="E39"/>
      <c r="F39"/>
      <c r="G39"/>
      <c r="H39"/>
      <c r="I39"/>
      <c r="J39"/>
    </row>
    <row r="40" spans="1:10" x14ac:dyDescent="0.25">
      <c r="A40" s="13"/>
      <c r="B40" s="1117"/>
      <c r="C40" s="143"/>
      <c r="D40" s="142"/>
      <c r="E40"/>
      <c r="F40"/>
      <c r="G40"/>
      <c r="H40"/>
      <c r="I40"/>
      <c r="J40"/>
    </row>
    <row r="41" spans="1:10" ht="15.75" thickBot="1" x14ac:dyDescent="0.3">
      <c r="A41" s="1118" t="s">
        <v>1384</v>
      </c>
      <c r="B41" s="1118" t="s">
        <v>1373</v>
      </c>
      <c r="C41" s="143"/>
      <c r="D41" s="142"/>
      <c r="E41"/>
      <c r="F41"/>
      <c r="G41"/>
      <c r="H41"/>
      <c r="I41"/>
      <c r="J41"/>
    </row>
    <row r="42" spans="1:10" ht="15.75" thickBot="1" x14ac:dyDescent="0.3">
      <c r="A42" s="1353"/>
      <c r="B42" s="1353"/>
      <c r="C42" s="942">
        <v>2017</v>
      </c>
      <c r="D42" s="373">
        <v>2016</v>
      </c>
      <c r="E42"/>
      <c r="F42"/>
      <c r="G42"/>
      <c r="H42"/>
      <c r="I42"/>
      <c r="J42"/>
    </row>
    <row r="43" spans="1:10" x14ac:dyDescent="0.25">
      <c r="A43" s="2" t="s">
        <v>1385</v>
      </c>
      <c r="B43" s="2" t="s">
        <v>1374</v>
      </c>
      <c r="C43" s="1268"/>
      <c r="D43" s="1269"/>
      <c r="E43"/>
      <c r="F43"/>
      <c r="G43"/>
      <c r="H43"/>
      <c r="I43"/>
      <c r="J43"/>
    </row>
    <row r="44" spans="1:10" x14ac:dyDescent="0.25">
      <c r="A44" s="1266" t="s">
        <v>126</v>
      </c>
      <c r="B44" s="1266" t="s">
        <v>307</v>
      </c>
      <c r="C44" s="1354">
        <v>6852</v>
      </c>
      <c r="D44" s="1355">
        <v>14880</v>
      </c>
      <c r="E44"/>
      <c r="F44"/>
      <c r="G44"/>
      <c r="H44"/>
      <c r="I44"/>
      <c r="J44"/>
    </row>
    <row r="45" spans="1:10" x14ac:dyDescent="0.25">
      <c r="A45" s="89" t="s">
        <v>128</v>
      </c>
      <c r="B45" s="89" t="s">
        <v>308</v>
      </c>
      <c r="C45" s="1356">
        <v>3</v>
      </c>
      <c r="D45" s="1357" t="s">
        <v>572</v>
      </c>
      <c r="E45"/>
      <c r="F45"/>
      <c r="G45"/>
      <c r="H45"/>
      <c r="I45"/>
      <c r="J45"/>
    </row>
    <row r="46" spans="1:10" x14ac:dyDescent="0.25">
      <c r="A46" s="1358" t="s">
        <v>654</v>
      </c>
      <c r="B46" s="1358" t="s">
        <v>654</v>
      </c>
      <c r="C46" s="1356">
        <v>542</v>
      </c>
      <c r="D46" s="1357">
        <v>528</v>
      </c>
      <c r="E46"/>
      <c r="F46"/>
      <c r="G46"/>
      <c r="H46"/>
      <c r="I46"/>
      <c r="J46"/>
    </row>
    <row r="47" spans="1:10" x14ac:dyDescent="0.25">
      <c r="A47" s="1358" t="s">
        <v>1375</v>
      </c>
      <c r="B47" s="1358" t="s">
        <v>1375</v>
      </c>
      <c r="C47" s="1356">
        <v>264</v>
      </c>
      <c r="D47" s="1357">
        <v>192</v>
      </c>
      <c r="E47"/>
      <c r="F47"/>
      <c r="G47"/>
      <c r="H47"/>
      <c r="I47"/>
      <c r="J47"/>
    </row>
    <row r="48" spans="1:10" ht="15.75" thickBot="1" x14ac:dyDescent="0.3">
      <c r="A48" s="164" t="s">
        <v>1386</v>
      </c>
      <c r="B48" s="164" t="s">
        <v>309</v>
      </c>
      <c r="C48" s="1359">
        <v>1450</v>
      </c>
      <c r="D48" s="1360">
        <v>1433</v>
      </c>
      <c r="E48"/>
      <c r="F48"/>
      <c r="G48"/>
      <c r="H48"/>
    </row>
    <row r="49" spans="1:11" ht="15.75" thickBot="1" x14ac:dyDescent="0.3">
      <c r="A49" s="542"/>
      <c r="B49" s="542"/>
      <c r="C49" s="1361">
        <f>SUM(C44:C48)</f>
        <v>9111</v>
      </c>
      <c r="D49" s="1362">
        <f>SUM(D44:D48)</f>
        <v>17033</v>
      </c>
      <c r="E49"/>
      <c r="F49"/>
      <c r="G49"/>
      <c r="H49"/>
    </row>
    <row r="50" spans="1:11" s="252" customFormat="1" ht="15.75" thickBot="1" x14ac:dyDescent="0.3">
      <c r="A50" s="105"/>
      <c r="B50" s="105"/>
      <c r="C50" s="105"/>
      <c r="D50" s="105"/>
      <c r="E50" s="475"/>
      <c r="F50" s="475"/>
      <c r="G50" s="475"/>
      <c r="H50" s="1363" t="s">
        <v>1</v>
      </c>
      <c r="I50" s="28"/>
      <c r="J50" s="28"/>
      <c r="K50" s="28"/>
    </row>
    <row r="51" spans="1:11" ht="28.15" customHeight="1" thickBot="1" x14ac:dyDescent="0.3">
      <c r="A51" s="1260"/>
      <c r="B51" s="1260"/>
      <c r="C51" s="1579" t="s">
        <v>1025</v>
      </c>
      <c r="D51" s="1579"/>
      <c r="E51" s="1579" t="s">
        <v>1377</v>
      </c>
      <c r="F51" s="1579"/>
      <c r="G51" s="1579" t="s">
        <v>1378</v>
      </c>
      <c r="H51" s="1579"/>
    </row>
    <row r="52" spans="1:11" ht="20.45" customHeight="1" outlineLevel="1" thickBot="1" x14ac:dyDescent="0.3">
      <c r="A52" s="1260" t="s">
        <v>1388</v>
      </c>
      <c r="B52" s="1260" t="s">
        <v>1376</v>
      </c>
      <c r="C52" s="1580" t="s">
        <v>1024</v>
      </c>
      <c r="D52" s="1580"/>
      <c r="E52" s="1580" t="s">
        <v>1389</v>
      </c>
      <c r="F52" s="1580"/>
      <c r="G52" s="1580" t="s">
        <v>1390</v>
      </c>
      <c r="H52" s="1580"/>
    </row>
    <row r="53" spans="1:11" ht="15.75" thickBot="1" x14ac:dyDescent="0.3">
      <c r="A53" s="1364"/>
      <c r="B53" s="1364"/>
      <c r="C53" s="1365" t="s">
        <v>957</v>
      </c>
      <c r="D53" s="1366" t="s">
        <v>819</v>
      </c>
      <c r="E53" s="1316">
        <v>2017</v>
      </c>
      <c r="F53" s="1317">
        <v>2016</v>
      </c>
      <c r="G53" s="1365" t="s">
        <v>957</v>
      </c>
      <c r="H53" s="1366" t="s">
        <v>819</v>
      </c>
    </row>
    <row r="54" spans="1:11" ht="20.45" customHeight="1" x14ac:dyDescent="0.25">
      <c r="A54" s="113"/>
      <c r="B54" s="113"/>
      <c r="C54" s="1367"/>
      <c r="D54" s="1368"/>
      <c r="E54" s="1367"/>
      <c r="F54" s="1368"/>
      <c r="G54" s="1369"/>
      <c r="H54" s="1370"/>
    </row>
    <row r="55" spans="1:11" x14ac:dyDescent="0.2">
      <c r="A55" s="1371" t="s">
        <v>1387</v>
      </c>
      <c r="B55" s="1372" t="s">
        <v>1379</v>
      </c>
      <c r="C55" s="1373"/>
      <c r="D55" s="1374"/>
      <c r="E55" s="1375"/>
      <c r="F55" s="1374"/>
      <c r="G55" s="1373"/>
      <c r="H55" s="1374"/>
    </row>
    <row r="56" spans="1:11" x14ac:dyDescent="0.2">
      <c r="A56" s="1376" t="s">
        <v>1641</v>
      </c>
      <c r="B56" s="1377" t="s">
        <v>1642</v>
      </c>
      <c r="C56" s="956">
        <v>269801</v>
      </c>
      <c r="D56" s="1378">
        <v>221675</v>
      </c>
      <c r="E56" s="956">
        <v>50463</v>
      </c>
      <c r="F56" s="1379">
        <v>6850</v>
      </c>
      <c r="G56" s="956">
        <v>185624</v>
      </c>
      <c r="H56" s="1378">
        <v>185624</v>
      </c>
    </row>
    <row r="57" spans="1:11" x14ac:dyDescent="0.2">
      <c r="A57" s="1376" t="s">
        <v>1643</v>
      </c>
      <c r="B57" s="1377" t="s">
        <v>1644</v>
      </c>
      <c r="C57" s="956">
        <v>993329</v>
      </c>
      <c r="D57" s="1378">
        <v>820992</v>
      </c>
      <c r="E57" s="956">
        <v>124268</v>
      </c>
      <c r="F57" s="1380">
        <v>-79</v>
      </c>
      <c r="G57" s="956">
        <v>627656</v>
      </c>
      <c r="H57" s="1378">
        <v>627656</v>
      </c>
    </row>
    <row r="58" spans="1:11" x14ac:dyDescent="0.2">
      <c r="A58" s="1376" t="s">
        <v>1283</v>
      </c>
      <c r="B58" s="1381" t="s">
        <v>974</v>
      </c>
      <c r="C58" s="1382">
        <v>40</v>
      </c>
      <c r="D58" s="1383">
        <v>40</v>
      </c>
      <c r="E58" s="1382" t="s">
        <v>572</v>
      </c>
      <c r="F58" s="1383" t="s">
        <v>572</v>
      </c>
      <c r="G58" s="1382">
        <v>40</v>
      </c>
      <c r="H58" s="1383">
        <v>40</v>
      </c>
    </row>
    <row r="59" spans="1:11" x14ac:dyDescent="0.2">
      <c r="A59" s="1384" t="s">
        <v>734</v>
      </c>
      <c r="B59" s="1385" t="s">
        <v>1375</v>
      </c>
      <c r="C59" s="1382">
        <v>904</v>
      </c>
      <c r="D59" s="1383">
        <v>936</v>
      </c>
      <c r="E59" s="1382">
        <v>232</v>
      </c>
      <c r="F59" s="1383">
        <v>264</v>
      </c>
      <c r="G59" s="1382">
        <v>35</v>
      </c>
      <c r="H59" s="1383">
        <v>35</v>
      </c>
    </row>
    <row r="60" spans="1:11" x14ac:dyDescent="0.2">
      <c r="A60" s="1384" t="s">
        <v>654</v>
      </c>
      <c r="B60" s="1385" t="s">
        <v>654</v>
      </c>
      <c r="C60" s="1382">
        <v>859</v>
      </c>
      <c r="D60" s="1383">
        <v>920</v>
      </c>
      <c r="E60" s="1382">
        <v>481</v>
      </c>
      <c r="F60" s="1383">
        <v>542</v>
      </c>
      <c r="G60" s="1382">
        <v>98</v>
      </c>
      <c r="H60" s="1383">
        <v>98</v>
      </c>
    </row>
    <row r="61" spans="1:11" ht="15.75" thickBot="1" x14ac:dyDescent="0.25">
      <c r="A61" s="1386" t="s">
        <v>133</v>
      </c>
      <c r="B61" s="1387" t="s">
        <v>309</v>
      </c>
      <c r="C61" s="966">
        <v>16413</v>
      </c>
      <c r="D61" s="1388">
        <v>14458</v>
      </c>
      <c r="E61" s="966">
        <v>4799</v>
      </c>
      <c r="F61" s="1388">
        <v>3159</v>
      </c>
      <c r="G61" s="966">
        <v>3556</v>
      </c>
      <c r="H61" s="1388">
        <v>3556</v>
      </c>
    </row>
    <row r="62" spans="1:11" ht="15.75" thickBot="1" x14ac:dyDescent="0.25">
      <c r="A62" s="742"/>
      <c r="B62" s="742"/>
      <c r="C62" s="1034">
        <f t="shared" ref="C62:H62" si="0">SUM(C56:C61)</f>
        <v>1281346</v>
      </c>
      <c r="D62" s="1299">
        <f t="shared" si="0"/>
        <v>1059021</v>
      </c>
      <c r="E62" s="1034">
        <f t="shared" si="0"/>
        <v>180243</v>
      </c>
      <c r="F62" s="1299">
        <f t="shared" si="0"/>
        <v>10736</v>
      </c>
      <c r="G62" s="1034">
        <f t="shared" si="0"/>
        <v>817009</v>
      </c>
      <c r="H62" s="1299">
        <f t="shared" si="0"/>
        <v>817009</v>
      </c>
    </row>
    <row r="63" spans="1:11" ht="28.5" x14ac:dyDescent="0.25">
      <c r="A63" s="1389" t="s">
        <v>1645</v>
      </c>
      <c r="B63" s="1390" t="s">
        <v>1646</v>
      </c>
      <c r="C63"/>
      <c r="D63"/>
      <c r="E63"/>
      <c r="F63"/>
      <c r="G63"/>
      <c r="H63"/>
      <c r="I63"/>
    </row>
    <row r="64" spans="1:11" x14ac:dyDescent="0.25">
      <c r="B64" s="1093"/>
      <c r="C64"/>
      <c r="D64"/>
      <c r="E64"/>
      <c r="F64"/>
      <c r="G64"/>
      <c r="H64"/>
      <c r="I64"/>
    </row>
    <row r="65" spans="2:10" ht="24.75" thickBot="1" x14ac:dyDescent="0.3">
      <c r="B65" s="1391" t="s">
        <v>1647</v>
      </c>
      <c r="E65"/>
      <c r="F65"/>
      <c r="G65"/>
      <c r="H65"/>
      <c r="I65"/>
      <c r="J65"/>
    </row>
    <row r="66" spans="2:10" ht="22.15" customHeight="1" thickBot="1" x14ac:dyDescent="0.3">
      <c r="B66" s="1392"/>
      <c r="C66" s="1577" t="s">
        <v>949</v>
      </c>
      <c r="D66" s="1577"/>
      <c r="E66" s="1393"/>
      <c r="F66" s="1578" t="str">
        <f>C35</f>
        <v>Mātessabiedrība/Parent Company</v>
      </c>
      <c r="G66" s="1578"/>
      <c r="H66"/>
      <c r="I66"/>
      <c r="J66"/>
    </row>
    <row r="67" spans="2:10" ht="14.45" customHeight="1" thickBot="1" x14ac:dyDescent="0.3">
      <c r="B67" s="13"/>
      <c r="C67" s="1365" t="s">
        <v>957</v>
      </c>
      <c r="D67" s="1366" t="s">
        <v>819</v>
      </c>
      <c r="E67" s="1393"/>
      <c r="F67" s="1365" t="s">
        <v>957</v>
      </c>
      <c r="G67" s="1366" t="s">
        <v>819</v>
      </c>
      <c r="H67"/>
      <c r="I67"/>
      <c r="J67"/>
    </row>
    <row r="68" spans="2:10" x14ac:dyDescent="0.25">
      <c r="B68" s="651" t="s">
        <v>901</v>
      </c>
      <c r="C68" s="1268"/>
      <c r="D68" s="1269"/>
      <c r="E68"/>
      <c r="F68" s="1394"/>
      <c r="G68"/>
      <c r="H68"/>
      <c r="I68"/>
    </row>
    <row r="69" spans="2:10" x14ac:dyDescent="0.25">
      <c r="B69" s="1120" t="s">
        <v>1380</v>
      </c>
      <c r="C69" s="959">
        <v>37</v>
      </c>
      <c r="D69" s="314">
        <v>37</v>
      </c>
      <c r="E69" s="1131"/>
      <c r="F69" s="959">
        <v>36</v>
      </c>
      <c r="G69" s="314">
        <v>36</v>
      </c>
      <c r="H69"/>
      <c r="I69"/>
    </row>
    <row r="70" spans="2:10" ht="15.75" thickBot="1" x14ac:dyDescent="0.3">
      <c r="B70" s="1119" t="s">
        <v>1381</v>
      </c>
      <c r="C70" s="1132">
        <v>3</v>
      </c>
      <c r="D70" s="313">
        <v>3</v>
      </c>
      <c r="E70" s="1131"/>
      <c r="F70" s="1132">
        <v>3</v>
      </c>
      <c r="G70" s="313">
        <v>3</v>
      </c>
      <c r="H70"/>
      <c r="I70"/>
    </row>
    <row r="71" spans="2:10" ht="15.75" thickBot="1" x14ac:dyDescent="0.3">
      <c r="B71" s="273"/>
      <c r="C71" s="1133">
        <f>SUM(C69:C70)</f>
        <v>40</v>
      </c>
      <c r="D71" s="1134">
        <f>SUM(D69:D70)</f>
        <v>40</v>
      </c>
      <c r="E71" s="1131"/>
      <c r="F71" s="1133">
        <f>SUM(F69:F70)</f>
        <v>39</v>
      </c>
      <c r="G71" s="1134">
        <f>SUM(G69:G70)</f>
        <v>39</v>
      </c>
      <c r="H71"/>
      <c r="I71"/>
    </row>
  </sheetData>
  <sheetProtection algorithmName="SHA-512" hashValue="Pq6wxPhKyIinzHVkhPfNVEc3lTW+ARjpnaXm9IyVAfbmEZia+06lLYyF/4IjkhFSnNOCk7Vx3vrdysok0i0eZQ==" saltValue="c53SwhLi3485CO6AwVPzjg==" spinCount="100000" sheet="1" objects="1" scenarios="1"/>
  <mergeCells count="63">
    <mergeCell ref="C66:D66"/>
    <mergeCell ref="F66:G66"/>
    <mergeCell ref="C35:D35"/>
    <mergeCell ref="C51:D51"/>
    <mergeCell ref="E51:F51"/>
    <mergeCell ref="G51:H51"/>
    <mergeCell ref="C52:D52"/>
    <mergeCell ref="E52:F52"/>
    <mergeCell ref="G52:H52"/>
    <mergeCell ref="H27:H28"/>
    <mergeCell ref="A25:A26"/>
    <mergeCell ref="B25:B26"/>
    <mergeCell ref="E25:E26"/>
    <mergeCell ref="F25:F26"/>
    <mergeCell ref="G25:G26"/>
    <mergeCell ref="H25:H26"/>
    <mergeCell ref="A27:A28"/>
    <mergeCell ref="B27:B28"/>
    <mergeCell ref="E27:E28"/>
    <mergeCell ref="F27:F28"/>
    <mergeCell ref="G27:G28"/>
    <mergeCell ref="H20:H21"/>
    <mergeCell ref="A18:A19"/>
    <mergeCell ref="B18:B19"/>
    <mergeCell ref="E18:E19"/>
    <mergeCell ref="F18:F19"/>
    <mergeCell ref="G18:G19"/>
    <mergeCell ref="H18:H19"/>
    <mergeCell ref="A20:A21"/>
    <mergeCell ref="B20:B21"/>
    <mergeCell ref="E20:E21"/>
    <mergeCell ref="F20:F21"/>
    <mergeCell ref="G20:G21"/>
    <mergeCell ref="H16:H17"/>
    <mergeCell ref="A14:A15"/>
    <mergeCell ref="B14:B15"/>
    <mergeCell ref="E14:E15"/>
    <mergeCell ref="F14:F15"/>
    <mergeCell ref="G14:G15"/>
    <mergeCell ref="H14:H15"/>
    <mergeCell ref="A16:A17"/>
    <mergeCell ref="B16:B17"/>
    <mergeCell ref="E16:E17"/>
    <mergeCell ref="F16:F17"/>
    <mergeCell ref="G16:G17"/>
    <mergeCell ref="H12:H13"/>
    <mergeCell ref="A10:A11"/>
    <mergeCell ref="B10:B11"/>
    <mergeCell ref="E10:E11"/>
    <mergeCell ref="F10:F11"/>
    <mergeCell ref="G10:G11"/>
    <mergeCell ref="H10:H11"/>
    <mergeCell ref="A12:A13"/>
    <mergeCell ref="B12:B13"/>
    <mergeCell ref="E12:E13"/>
    <mergeCell ref="F12:F13"/>
    <mergeCell ref="G12:G13"/>
    <mergeCell ref="G7:H7"/>
    <mergeCell ref="A7:A8"/>
    <mergeCell ref="B7:B8"/>
    <mergeCell ref="C7:C8"/>
    <mergeCell ref="D7:D8"/>
    <mergeCell ref="E7:F7"/>
  </mergeCells>
  <pageMargins left="0" right="0" top="0.39370078740157483" bottom="0" header="0.31496062992125984" footer="0.31496062992125984"/>
  <pageSetup paperSize="9"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showGridLines="0" zoomScaleNormal="100" zoomScaleSheetLayoutView="130" workbookViewId="0"/>
  </sheetViews>
  <sheetFormatPr defaultRowHeight="15" outlineLevelCol="1" x14ac:dyDescent="0.25"/>
  <cols>
    <col min="1" max="1" width="28.28515625" customWidth="1"/>
    <col min="2" max="2" width="30" customWidth="1" outlineLevel="1"/>
    <col min="3" max="3" width="11.5703125" customWidth="1"/>
    <col min="4" max="4" width="14.28515625" bestFit="1" customWidth="1"/>
    <col min="5" max="5" width="3.42578125" customWidth="1"/>
    <col min="6" max="7" width="14.28515625" bestFit="1" customWidth="1"/>
  </cols>
  <sheetData>
    <row r="2" spans="1:10" s="30" customFormat="1" ht="16.5" thickBot="1" x14ac:dyDescent="0.25">
      <c r="A2" s="29" t="s">
        <v>1140</v>
      </c>
      <c r="B2" s="29" t="s">
        <v>1726</v>
      </c>
      <c r="C2" s="31"/>
      <c r="G2" s="1395" t="s">
        <v>51</v>
      </c>
    </row>
    <row r="3" spans="1:10" s="30" customFormat="1" ht="16.5" thickBot="1" x14ac:dyDescent="0.3">
      <c r="A3" s="509"/>
      <c r="B3" s="509"/>
      <c r="C3" s="1577" t="s">
        <v>949</v>
      </c>
      <c r="D3" s="1577"/>
      <c r="E3" s="53"/>
      <c r="F3" s="1577" t="s">
        <v>1403</v>
      </c>
      <c r="G3" s="1577"/>
    </row>
    <row r="4" spans="1:10" s="31" customFormat="1" ht="12.75" thickBot="1" x14ac:dyDescent="0.3">
      <c r="A4" s="99"/>
      <c r="B4" s="99"/>
      <c r="C4" s="1365" t="s">
        <v>957</v>
      </c>
      <c r="D4" s="1366" t="s">
        <v>819</v>
      </c>
      <c r="E4" s="1396"/>
      <c r="F4" s="1365" t="s">
        <v>957</v>
      </c>
      <c r="G4" s="1366" t="s">
        <v>819</v>
      </c>
    </row>
    <row r="5" spans="1:10" s="31" customFormat="1" ht="11.25" x14ac:dyDescent="0.25">
      <c r="A5" s="181"/>
      <c r="B5" s="181"/>
      <c r="C5" s="1268"/>
      <c r="D5" s="99"/>
      <c r="E5" s="502"/>
      <c r="F5" s="1268"/>
      <c r="G5" s="99"/>
    </row>
    <row r="6" spans="1:10" s="31" customFormat="1" ht="11.25" x14ac:dyDescent="0.25">
      <c r="A6" s="181"/>
      <c r="B6" s="181"/>
      <c r="C6" s="1268"/>
      <c r="D6" s="99"/>
      <c r="E6" s="502"/>
      <c r="F6" s="1268"/>
      <c r="G6" s="99"/>
    </row>
    <row r="7" spans="1:10" s="31" customFormat="1" ht="11.25" x14ac:dyDescent="0.2">
      <c r="A7" s="312" t="s">
        <v>792</v>
      </c>
      <c r="B7" s="312" t="s">
        <v>794</v>
      </c>
      <c r="C7" s="955">
        <v>16547</v>
      </c>
      <c r="D7" s="418">
        <v>17438</v>
      </c>
      <c r="E7" s="502"/>
      <c r="F7" s="955">
        <v>1583</v>
      </c>
      <c r="G7" s="418">
        <v>1267</v>
      </c>
    </row>
    <row r="8" spans="1:10" s="31" customFormat="1" ht="11.25" x14ac:dyDescent="0.25">
      <c r="A8" s="248" t="s">
        <v>1648</v>
      </c>
      <c r="B8" s="480" t="s">
        <v>1649</v>
      </c>
      <c r="C8" s="839">
        <v>53079</v>
      </c>
      <c r="D8" s="184">
        <v>17506</v>
      </c>
      <c r="E8" s="502"/>
      <c r="F8" s="839">
        <v>53078</v>
      </c>
      <c r="G8" s="184">
        <v>817</v>
      </c>
    </row>
    <row r="9" spans="1:10" s="31" customFormat="1" ht="11.25" x14ac:dyDescent="0.25">
      <c r="A9" s="248" t="s">
        <v>136</v>
      </c>
      <c r="B9" s="480" t="s">
        <v>311</v>
      </c>
      <c r="C9" s="839">
        <v>8115</v>
      </c>
      <c r="D9" s="184">
        <v>8173</v>
      </c>
      <c r="E9" s="502"/>
      <c r="F9" s="1168">
        <v>8075</v>
      </c>
      <c r="G9" s="184">
        <v>8094</v>
      </c>
    </row>
    <row r="10" spans="1:10" s="31" customFormat="1" ht="11.25" x14ac:dyDescent="0.25">
      <c r="A10" s="248" t="s">
        <v>1005</v>
      </c>
      <c r="B10" s="480" t="s">
        <v>1006</v>
      </c>
      <c r="C10" s="839">
        <v>81</v>
      </c>
      <c r="D10" s="282" t="s">
        <v>572</v>
      </c>
      <c r="E10" s="502"/>
      <c r="F10" s="839">
        <v>80</v>
      </c>
      <c r="G10" s="184">
        <v>16693</v>
      </c>
    </row>
    <row r="11" spans="1:10" s="31" customFormat="1" ht="23.25" thickBot="1" x14ac:dyDescent="0.3">
      <c r="A11" s="253" t="s">
        <v>793</v>
      </c>
      <c r="B11" s="253" t="s">
        <v>795</v>
      </c>
      <c r="C11" s="855">
        <v>-1494</v>
      </c>
      <c r="D11" s="201">
        <v>-1659</v>
      </c>
      <c r="E11" s="502"/>
      <c r="F11" s="855">
        <v>-992</v>
      </c>
      <c r="G11" s="201">
        <v>-1060</v>
      </c>
    </row>
    <row r="12" spans="1:10" s="31" customFormat="1" ht="12" thickBot="1" x14ac:dyDescent="0.3">
      <c r="A12" s="326" t="s">
        <v>137</v>
      </c>
      <c r="B12" s="326" t="s">
        <v>908</v>
      </c>
      <c r="C12" s="948">
        <f>SUM(C7:C11)</f>
        <v>76328</v>
      </c>
      <c r="D12" s="743">
        <f>SUM(D7:D11)</f>
        <v>41458</v>
      </c>
      <c r="E12" s="502"/>
      <c r="F12" s="1133">
        <f>SUM(F7:F11)</f>
        <v>61824</v>
      </c>
      <c r="G12" s="743">
        <f>SUM(G7:G11)</f>
        <v>25811</v>
      </c>
    </row>
    <row r="13" spans="1:10" s="31" customFormat="1" ht="67.5" x14ac:dyDescent="0.25">
      <c r="A13" s="32" t="s">
        <v>1650</v>
      </c>
      <c r="B13" s="32" t="s">
        <v>1651</v>
      </c>
      <c r="C13" s="502"/>
      <c r="D13" s="502"/>
      <c r="E13" s="502"/>
      <c r="F13" s="502"/>
      <c r="G13" s="502"/>
    </row>
    <row r="14" spans="1:10" s="31" customFormat="1" x14ac:dyDescent="0.25">
      <c r="A14" s="503"/>
      <c r="B14" s="503"/>
      <c r="C14" s="502"/>
      <c r="D14" s="502"/>
      <c r="E14" s="502"/>
      <c r="F14" s="502"/>
      <c r="G14" s="502"/>
      <c r="J14" s="28"/>
    </row>
    <row r="15" spans="1:10" s="28" customFormat="1" ht="36.75" thickBot="1" x14ac:dyDescent="0.25">
      <c r="A15" s="477" t="s">
        <v>138</v>
      </c>
      <c r="B15" s="476" t="s">
        <v>1652</v>
      </c>
      <c r="C15" s="505"/>
      <c r="D15" s="252"/>
      <c r="E15" s="252"/>
      <c r="F15" s="252"/>
      <c r="G15" s="1395" t="s">
        <v>51</v>
      </c>
    </row>
    <row r="16" spans="1:10" s="28" customFormat="1" ht="15.75" thickBot="1" x14ac:dyDescent="0.25">
      <c r="A16" s="507"/>
      <c r="B16" s="508"/>
      <c r="C16" s="1577" t="str">
        <f>C3</f>
        <v>Koncerns/Group</v>
      </c>
      <c r="D16" s="1577"/>
      <c r="E16" s="53"/>
      <c r="F16" s="1577" t="str">
        <f>F3</f>
        <v>Mātessabiedrība/Parent Company</v>
      </c>
      <c r="G16" s="1577"/>
      <c r="J16" s="31"/>
    </row>
    <row r="17" spans="1:10" s="31" customFormat="1" ht="12.75" thickBot="1" x14ac:dyDescent="0.3">
      <c r="A17" s="542"/>
      <c r="B17" s="542"/>
      <c r="C17" s="1365">
        <v>2017</v>
      </c>
      <c r="D17" s="1366">
        <v>2016</v>
      </c>
      <c r="E17" s="1396"/>
      <c r="F17" s="1365">
        <f>C17</f>
        <v>2017</v>
      </c>
      <c r="G17" s="1366">
        <f>D17</f>
        <v>2016</v>
      </c>
    </row>
    <row r="18" spans="1:10" s="31" customFormat="1" ht="11.25" x14ac:dyDescent="0.25">
      <c r="A18" s="181"/>
      <c r="B18" s="181"/>
      <c r="C18" s="1268"/>
      <c r="D18" s="99"/>
      <c r="E18" s="502"/>
      <c r="F18" s="1268"/>
      <c r="G18" s="99"/>
    </row>
    <row r="19" spans="1:10" s="31" customFormat="1" ht="11.25" x14ac:dyDescent="0.25">
      <c r="A19" s="181"/>
      <c r="B19" s="181"/>
      <c r="C19" s="1268"/>
      <c r="D19" s="99"/>
      <c r="E19" s="502"/>
      <c r="F19" s="1268"/>
      <c r="G19" s="99"/>
    </row>
    <row r="20" spans="1:10" s="31" customFormat="1" ht="11.25" x14ac:dyDescent="0.2">
      <c r="A20" s="1261" t="s">
        <v>103</v>
      </c>
      <c r="B20" s="1261" t="s">
        <v>271</v>
      </c>
      <c r="C20" s="1296">
        <f>D23</f>
        <v>1659</v>
      </c>
      <c r="D20" s="546">
        <v>1614</v>
      </c>
      <c r="E20" s="502"/>
      <c r="F20" s="1296">
        <f>G23</f>
        <v>1060</v>
      </c>
      <c r="G20" s="546">
        <v>1027</v>
      </c>
    </row>
    <row r="21" spans="1:10" s="31" customFormat="1" ht="11.25" x14ac:dyDescent="0.2">
      <c r="A21" s="248" t="s">
        <v>139</v>
      </c>
      <c r="B21" s="248" t="s">
        <v>312</v>
      </c>
      <c r="C21" s="985">
        <v>-62</v>
      </c>
      <c r="D21" s="283">
        <v>-87</v>
      </c>
      <c r="E21" s="502"/>
      <c r="F21" s="985" t="s">
        <v>572</v>
      </c>
      <c r="G21" s="283" t="s">
        <v>572</v>
      </c>
    </row>
    <row r="22" spans="1:10" s="31" customFormat="1" ht="23.25" thickBot="1" x14ac:dyDescent="0.25">
      <c r="A22" s="253" t="s">
        <v>1324</v>
      </c>
      <c r="B22" s="253" t="s">
        <v>1325</v>
      </c>
      <c r="C22" s="1057">
        <v>-103</v>
      </c>
      <c r="D22" s="738">
        <v>132</v>
      </c>
      <c r="E22" s="502"/>
      <c r="F22" s="1057">
        <v>-68</v>
      </c>
      <c r="G22" s="738">
        <v>33</v>
      </c>
    </row>
    <row r="23" spans="1:10" s="31" customFormat="1" ht="15.75" thickBot="1" x14ac:dyDescent="0.3">
      <c r="A23" s="273" t="s">
        <v>105</v>
      </c>
      <c r="B23" s="273" t="s">
        <v>273</v>
      </c>
      <c r="C23" s="1397">
        <f>SUM(C20:C22)</f>
        <v>1494</v>
      </c>
      <c r="D23" s="1398">
        <f>SUM(D20:D22)</f>
        <v>1659</v>
      </c>
      <c r="E23" s="502"/>
      <c r="F23" s="1397">
        <f>SUM(F20:F22)</f>
        <v>992</v>
      </c>
      <c r="G23" s="1398">
        <f>SUM(G19:G22)</f>
        <v>1060</v>
      </c>
      <c r="J23"/>
    </row>
  </sheetData>
  <sheetProtection algorithmName="SHA-512" hashValue="BjO0PedBeToyS/7vxw1dtU9ydmhhw1KmRPnNaBha1umhxKEHE5ABEyh4sBZF5S2TPLtxXMt861PGUsvMD5TxCA==" saltValue="Hp0Q9Y9OqhvSVUjy2m6l+g==" spinCount="100000" sheet="1" objects="1" scenarios="1"/>
  <mergeCells count="4">
    <mergeCell ref="C3:D3"/>
    <mergeCell ref="F3:G3"/>
    <mergeCell ref="C16:D16"/>
    <mergeCell ref="F16:G16"/>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55"/>
  <sheetViews>
    <sheetView showGridLines="0" zoomScaleNormal="100" workbookViewId="0">
      <pane ySplit="2" topLeftCell="A3" activePane="bottomLeft" state="frozen"/>
      <selection pane="bottomLeft" activeCell="A3" sqref="A3"/>
    </sheetView>
  </sheetViews>
  <sheetFormatPr defaultColWidth="9.140625" defaultRowHeight="15" outlineLevelCol="1" x14ac:dyDescent="0.25"/>
  <cols>
    <col min="1" max="1" width="67.85546875" style="28" customWidth="1"/>
    <col min="2" max="2" width="48.42578125" style="28" customWidth="1" outlineLevel="1"/>
    <col min="3" max="3" width="12" style="28" customWidth="1" outlineLevel="1"/>
    <col min="4" max="4" width="11.42578125" style="28" customWidth="1"/>
    <col min="5" max="5" width="9.140625" style="28"/>
    <col min="6" max="7" width="15.85546875" style="28" customWidth="1"/>
    <col min="8" max="16384" width="9.140625" style="28"/>
  </cols>
  <sheetData>
    <row r="1" spans="1:7" x14ac:dyDescent="0.25">
      <c r="A1" s="510" t="str">
        <f>'Key Figures'!A1</f>
        <v>LATVENERGO KONCERNA KONSOLIDĒTIE un</v>
      </c>
      <c r="B1" s="510" t="str">
        <f>'Key Figures'!B1</f>
        <v>LATVENERGO GROUP CONSOLIDATED and</v>
      </c>
      <c r="C1" s="510"/>
      <c r="D1" s="252"/>
      <c r="E1" s="252"/>
      <c r="F1" s="252"/>
      <c r="G1" s="252"/>
    </row>
    <row r="2" spans="1:7" x14ac:dyDescent="0.25">
      <c r="A2" s="510" t="str">
        <f>'Key Figures'!A2</f>
        <v>AS „LATVENERGO” 2017. GADA FINANŠU PĀRSKATI</v>
      </c>
      <c r="B2" s="510" t="str">
        <f>'Key Figures'!B2</f>
        <v>LATVENERGO AS FINANCIAL STATEMENTS 2017</v>
      </c>
      <c r="C2" s="510"/>
      <c r="D2" s="252"/>
      <c r="E2" s="252"/>
      <c r="F2" s="252"/>
      <c r="G2" s="252"/>
    </row>
    <row r="3" spans="1:7" s="30" customFormat="1" ht="15.75" x14ac:dyDescent="0.25">
      <c r="A3" s="511" t="s">
        <v>1595</v>
      </c>
      <c r="B3" s="511" t="s">
        <v>1596</v>
      </c>
      <c r="C3" s="511"/>
      <c r="D3" s="512"/>
      <c r="E3" s="512"/>
      <c r="F3" s="512"/>
      <c r="G3" s="512"/>
    </row>
    <row r="4" spans="1:7" ht="15.75" x14ac:dyDescent="0.25">
      <c r="A4" s="511"/>
      <c r="B4" s="513"/>
      <c r="C4" s="513"/>
      <c r="D4" s="252"/>
      <c r="E4" s="252"/>
      <c r="F4" s="252"/>
      <c r="G4" s="252"/>
    </row>
    <row r="5" spans="1:7" ht="15.75" x14ac:dyDescent="0.25">
      <c r="A5" s="511"/>
      <c r="B5" s="513"/>
      <c r="C5" s="31"/>
      <c r="D5" s="31"/>
      <c r="E5" s="252"/>
      <c r="F5" s="252"/>
      <c r="G5" s="252"/>
    </row>
    <row r="6" spans="1:7" ht="15.75" thickBot="1" x14ac:dyDescent="0.25">
      <c r="A6" s="504" t="s">
        <v>1153</v>
      </c>
      <c r="B6" s="504" t="s">
        <v>1152</v>
      </c>
      <c r="C6" s="504"/>
      <c r="D6" s="514"/>
      <c r="E6" s="252"/>
      <c r="F6" s="252"/>
      <c r="G6" s="1208" t="s">
        <v>1</v>
      </c>
    </row>
    <row r="7" spans="1:7" ht="15.75" customHeight="1" thickBot="1" x14ac:dyDescent="0.3">
      <c r="A7" s="508"/>
      <c r="B7" s="508"/>
      <c r="C7" s="1581" t="s">
        <v>949</v>
      </c>
      <c r="D7" s="1581"/>
      <c r="E7" s="535"/>
      <c r="F7" s="1581" t="s">
        <v>1403</v>
      </c>
      <c r="G7" s="1581"/>
    </row>
    <row r="8" spans="1:7" s="31" customFormat="1" ht="13.5" thickBot="1" x14ac:dyDescent="0.3">
      <c r="A8" s="99"/>
      <c r="B8" s="99"/>
      <c r="C8" s="1273" t="s">
        <v>957</v>
      </c>
      <c r="D8" s="1274" t="s">
        <v>819</v>
      </c>
      <c r="E8" s="530"/>
      <c r="F8" s="1273" t="s">
        <v>957</v>
      </c>
      <c r="G8" s="1274" t="s">
        <v>819</v>
      </c>
    </row>
    <row r="9" spans="1:7" s="31" customFormat="1" ht="11.25" x14ac:dyDescent="0.25">
      <c r="A9" s="181"/>
      <c r="B9" s="181"/>
      <c r="C9" s="1013"/>
      <c r="D9" s="515"/>
      <c r="E9" s="502"/>
      <c r="F9" s="1013"/>
      <c r="G9" s="515"/>
    </row>
    <row r="10" spans="1:7" s="31" customFormat="1" ht="11.25" x14ac:dyDescent="0.25">
      <c r="A10" s="810" t="s">
        <v>1154</v>
      </c>
      <c r="B10" s="810" t="s">
        <v>1149</v>
      </c>
      <c r="C10" s="861"/>
      <c r="D10" s="99"/>
      <c r="E10" s="502"/>
      <c r="F10" s="861"/>
      <c r="G10" s="99"/>
    </row>
    <row r="11" spans="1:7" s="31" customFormat="1" ht="11.25" x14ac:dyDescent="0.2">
      <c r="A11" s="178" t="s">
        <v>1148</v>
      </c>
      <c r="B11" s="178" t="s">
        <v>1147</v>
      </c>
      <c r="C11" s="955">
        <v>134699</v>
      </c>
      <c r="D11" s="418">
        <v>147808</v>
      </c>
      <c r="E11" s="502"/>
      <c r="F11" s="955">
        <v>105257</v>
      </c>
      <c r="G11" s="418">
        <v>120500</v>
      </c>
    </row>
    <row r="12" spans="1:7" s="31" customFormat="1" ht="11.25" x14ac:dyDescent="0.25">
      <c r="A12" s="248" t="s">
        <v>650</v>
      </c>
      <c r="B12" s="248" t="s">
        <v>651</v>
      </c>
      <c r="C12" s="839">
        <v>10922</v>
      </c>
      <c r="D12" s="184">
        <v>11629</v>
      </c>
      <c r="E12" s="502"/>
      <c r="F12" s="839">
        <v>8851</v>
      </c>
      <c r="G12" s="184">
        <v>9530</v>
      </c>
    </row>
    <row r="13" spans="1:7" s="31" customFormat="1" ht="11.25" x14ac:dyDescent="0.25">
      <c r="A13" s="248" t="s">
        <v>1597</v>
      </c>
      <c r="B13" s="248" t="s">
        <v>1598</v>
      </c>
      <c r="C13" s="839">
        <v>8610</v>
      </c>
      <c r="D13" s="184">
        <v>7588</v>
      </c>
      <c r="E13" s="502"/>
      <c r="F13" s="839">
        <v>4155</v>
      </c>
      <c r="G13" s="184">
        <v>3086</v>
      </c>
    </row>
    <row r="14" spans="1:7" s="31" customFormat="1" ht="12" thickBot="1" x14ac:dyDescent="0.3">
      <c r="A14" s="253" t="s">
        <v>1145</v>
      </c>
      <c r="B14" s="253" t="s">
        <v>1146</v>
      </c>
      <c r="C14" s="855" t="s">
        <v>625</v>
      </c>
      <c r="D14" s="201" t="s">
        <v>625</v>
      </c>
      <c r="E14" s="502"/>
      <c r="F14" s="855">
        <v>9404</v>
      </c>
      <c r="G14" s="201">
        <v>13117</v>
      </c>
    </row>
    <row r="15" spans="1:7" s="31" customFormat="1" ht="11.25" x14ac:dyDescent="0.25">
      <c r="A15" s="259"/>
      <c r="B15" s="1030"/>
      <c r="C15" s="899">
        <v>154231</v>
      </c>
      <c r="D15" s="341">
        <v>167025</v>
      </c>
      <c r="E15" s="502"/>
      <c r="F15" s="899">
        <v>127667</v>
      </c>
      <c r="G15" s="341">
        <v>146233</v>
      </c>
    </row>
    <row r="16" spans="1:7" s="31" customFormat="1" ht="22.5" x14ac:dyDescent="0.2">
      <c r="A16" s="255" t="s">
        <v>1599</v>
      </c>
      <c r="B16" s="1020" t="s">
        <v>1150</v>
      </c>
      <c r="C16" s="936"/>
      <c r="D16" s="278"/>
      <c r="E16" s="502"/>
      <c r="F16" s="936"/>
      <c r="G16" s="278"/>
    </row>
    <row r="17" spans="1:7" s="31" customFormat="1" ht="11.25" x14ac:dyDescent="0.2">
      <c r="A17" s="178" t="s">
        <v>1148</v>
      </c>
      <c r="B17" s="586" t="s">
        <v>1147</v>
      </c>
      <c r="C17" s="955">
        <v>-45561</v>
      </c>
      <c r="D17" s="418">
        <v>-44801</v>
      </c>
      <c r="E17" s="502"/>
      <c r="F17" s="955">
        <v>-44472</v>
      </c>
      <c r="G17" s="418">
        <v>-43674</v>
      </c>
    </row>
    <row r="18" spans="1:7" s="31" customFormat="1" ht="11.25" x14ac:dyDescent="0.25">
      <c r="A18" s="248" t="s">
        <v>650</v>
      </c>
      <c r="B18" s="248" t="s">
        <v>651</v>
      </c>
      <c r="C18" s="839">
        <v>-329</v>
      </c>
      <c r="D18" s="184">
        <v>-391</v>
      </c>
      <c r="E18" s="502"/>
      <c r="F18" s="839">
        <v>-310</v>
      </c>
      <c r="G18" s="184">
        <v>-369</v>
      </c>
    </row>
    <row r="19" spans="1:7" s="31" customFormat="1" ht="12" thickBot="1" x14ac:dyDescent="0.3">
      <c r="A19" s="253" t="s">
        <v>1597</v>
      </c>
      <c r="B19" s="253" t="s">
        <v>1598</v>
      </c>
      <c r="C19" s="855">
        <v>-2972</v>
      </c>
      <c r="D19" s="201">
        <v>-2908</v>
      </c>
      <c r="E19" s="502"/>
      <c r="F19" s="855">
        <v>-86</v>
      </c>
      <c r="G19" s="201">
        <v>-134</v>
      </c>
    </row>
    <row r="20" spans="1:7" s="31" customFormat="1" ht="11.25" x14ac:dyDescent="0.25">
      <c r="A20" s="1031"/>
      <c r="B20" s="1031"/>
      <c r="C20" s="899">
        <v>-48862</v>
      </c>
      <c r="D20" s="341">
        <v>-48100</v>
      </c>
      <c r="E20" s="502"/>
      <c r="F20" s="899">
        <v>-44868</v>
      </c>
      <c r="G20" s="341">
        <v>-44177</v>
      </c>
    </row>
    <row r="21" spans="1:7" s="31" customFormat="1" ht="11.25" x14ac:dyDescent="0.25">
      <c r="A21" s="255" t="s">
        <v>1155</v>
      </c>
      <c r="B21" s="255" t="s">
        <v>1151</v>
      </c>
      <c r="C21" s="936"/>
      <c r="D21" s="278"/>
      <c r="E21" s="502"/>
      <c r="F21" s="936"/>
      <c r="G21" s="278"/>
    </row>
    <row r="22" spans="1:7" s="31" customFormat="1" ht="11.25" x14ac:dyDescent="0.2">
      <c r="A22" s="178" t="s">
        <v>1148</v>
      </c>
      <c r="B22" s="178" t="s">
        <v>1147</v>
      </c>
      <c r="C22" s="955">
        <v>89138</v>
      </c>
      <c r="D22" s="418">
        <v>103007</v>
      </c>
      <c r="E22" s="502"/>
      <c r="F22" s="955">
        <v>60785</v>
      </c>
      <c r="G22" s="418">
        <v>76826</v>
      </c>
    </row>
    <row r="23" spans="1:7" s="31" customFormat="1" ht="11.25" x14ac:dyDescent="0.25">
      <c r="A23" s="248" t="s">
        <v>650</v>
      </c>
      <c r="B23" s="248" t="s">
        <v>651</v>
      </c>
      <c r="C23" s="839">
        <v>10593</v>
      </c>
      <c r="D23" s="184">
        <v>11238</v>
      </c>
      <c r="E23" s="502"/>
      <c r="F23" s="839">
        <v>8541</v>
      </c>
      <c r="G23" s="184">
        <v>9161</v>
      </c>
    </row>
    <row r="24" spans="1:7" s="31" customFormat="1" ht="11.25" x14ac:dyDescent="0.25">
      <c r="A24" s="248" t="s">
        <v>1597</v>
      </c>
      <c r="B24" s="248" t="s">
        <v>1598</v>
      </c>
      <c r="C24" s="839">
        <v>5638</v>
      </c>
      <c r="D24" s="184">
        <v>4680</v>
      </c>
      <c r="E24" s="502"/>
      <c r="F24" s="839">
        <v>4069</v>
      </c>
      <c r="G24" s="184">
        <v>2952</v>
      </c>
    </row>
    <row r="25" spans="1:7" s="31" customFormat="1" ht="12" thickBot="1" x14ac:dyDescent="0.3">
      <c r="A25" s="253" t="s">
        <v>1145</v>
      </c>
      <c r="B25" s="253" t="s">
        <v>1146</v>
      </c>
      <c r="C25" s="855" t="s">
        <v>625</v>
      </c>
      <c r="D25" s="201" t="s">
        <v>625</v>
      </c>
      <c r="E25" s="502"/>
      <c r="F25" s="855">
        <v>9404</v>
      </c>
      <c r="G25" s="201">
        <v>13117</v>
      </c>
    </row>
    <row r="26" spans="1:7" s="31" customFormat="1" ht="12" thickBot="1" x14ac:dyDescent="0.3">
      <c r="A26" s="273"/>
      <c r="B26" s="273"/>
      <c r="C26" s="787">
        <v>105369</v>
      </c>
      <c r="D26" s="714">
        <v>118925</v>
      </c>
      <c r="E26" s="502"/>
      <c r="F26" s="787">
        <v>82799</v>
      </c>
      <c r="G26" s="714">
        <v>102056</v>
      </c>
    </row>
    <row r="27" spans="1:7" ht="15" customHeight="1" x14ac:dyDescent="0.25">
      <c r="A27" s="516"/>
      <c r="B27" s="516"/>
      <c r="C27" s="516"/>
      <c r="D27" s="305"/>
      <c r="E27" s="252"/>
      <c r="F27" s="252"/>
      <c r="G27" s="252"/>
    </row>
    <row r="28" spans="1:7" x14ac:dyDescent="0.25">
      <c r="A28" s="517"/>
      <c r="B28" s="517"/>
      <c r="C28" s="517"/>
      <c r="D28" s="305"/>
      <c r="E28" s="252"/>
      <c r="F28" s="252"/>
      <c r="G28" s="252"/>
    </row>
    <row r="29" spans="1:7" ht="39" thickBot="1" x14ac:dyDescent="0.25">
      <c r="A29" s="1278" t="s">
        <v>1156</v>
      </c>
      <c r="B29" s="519" t="s">
        <v>1157</v>
      </c>
      <c r="C29" s="31"/>
      <c r="D29" s="252"/>
      <c r="E29" s="252"/>
      <c r="F29" s="252"/>
      <c r="G29" s="1208" t="s">
        <v>1</v>
      </c>
    </row>
    <row r="30" spans="1:7" ht="15.75" customHeight="1" thickBot="1" x14ac:dyDescent="0.3">
      <c r="A30" s="508"/>
      <c r="B30" s="508"/>
      <c r="C30" s="1581" t="s">
        <v>949</v>
      </c>
      <c r="D30" s="1581"/>
      <c r="E30" s="535"/>
      <c r="F30" s="1581" t="s">
        <v>1403</v>
      </c>
      <c r="G30" s="1581"/>
    </row>
    <row r="31" spans="1:7" s="31" customFormat="1" ht="13.5" thickBot="1" x14ac:dyDescent="0.3">
      <c r="A31" s="99"/>
      <c r="B31" s="99"/>
      <c r="C31" s="1273" t="s">
        <v>957</v>
      </c>
      <c r="D31" s="1274" t="s">
        <v>819</v>
      </c>
      <c r="E31" s="530"/>
      <c r="F31" s="1273" t="s">
        <v>957</v>
      </c>
      <c r="G31" s="1274" t="s">
        <v>819</v>
      </c>
    </row>
    <row r="32" spans="1:7" s="31" customFormat="1" ht="11.25" x14ac:dyDescent="0.25">
      <c r="A32" s="181"/>
      <c r="B32" s="181"/>
      <c r="C32" s="853"/>
      <c r="D32" s="181"/>
      <c r="E32" s="502"/>
      <c r="F32" s="853"/>
      <c r="G32" s="181"/>
    </row>
    <row r="33" spans="1:7" s="31" customFormat="1" ht="22.5" x14ac:dyDescent="0.2">
      <c r="A33" s="810" t="s">
        <v>1158</v>
      </c>
      <c r="B33" s="321" t="s">
        <v>1159</v>
      </c>
      <c r="C33" s="1014"/>
      <c r="D33" s="99"/>
      <c r="E33" s="502"/>
      <c r="F33" s="1014"/>
      <c r="G33" s="99"/>
    </row>
    <row r="34" spans="1:7" s="31" customFormat="1" ht="11.25" x14ac:dyDescent="0.25">
      <c r="A34" s="178" t="s">
        <v>642</v>
      </c>
      <c r="B34" s="178" t="s">
        <v>636</v>
      </c>
      <c r="C34" s="1021">
        <v>70290</v>
      </c>
      <c r="D34" s="279">
        <v>92450</v>
      </c>
      <c r="E34" s="502"/>
      <c r="F34" s="1021">
        <v>46956</v>
      </c>
      <c r="G34" s="279">
        <v>69766</v>
      </c>
    </row>
    <row r="35" spans="1:7" s="31" customFormat="1" ht="11.25" x14ac:dyDescent="0.25">
      <c r="A35" s="253" t="s">
        <v>140</v>
      </c>
      <c r="B35" s="253" t="s">
        <v>267</v>
      </c>
      <c r="C35" s="936"/>
      <c r="D35" s="278"/>
      <c r="E35" s="502"/>
      <c r="F35" s="936"/>
      <c r="G35" s="278"/>
    </row>
    <row r="36" spans="1:7" s="31" customFormat="1" ht="11.25" x14ac:dyDescent="0.25">
      <c r="A36" s="178" t="s">
        <v>644</v>
      </c>
      <c r="B36" s="178" t="s">
        <v>643</v>
      </c>
      <c r="C36" s="1021">
        <v>7183</v>
      </c>
      <c r="D36" s="279">
        <v>7277</v>
      </c>
      <c r="E36" s="502"/>
      <c r="F36" s="1021">
        <v>3134</v>
      </c>
      <c r="G36" s="279">
        <v>5251</v>
      </c>
    </row>
    <row r="37" spans="1:7" s="31" customFormat="1" ht="11.25" x14ac:dyDescent="0.25">
      <c r="A37" s="253" t="s">
        <v>141</v>
      </c>
      <c r="B37" s="253" t="s">
        <v>268</v>
      </c>
      <c r="C37" s="936"/>
      <c r="D37" s="278"/>
      <c r="E37" s="502"/>
      <c r="F37" s="936"/>
      <c r="G37" s="278"/>
    </row>
    <row r="38" spans="1:7" s="31" customFormat="1" ht="11.25" x14ac:dyDescent="0.25">
      <c r="A38" s="178" t="s">
        <v>648</v>
      </c>
      <c r="B38" s="178" t="s">
        <v>645</v>
      </c>
      <c r="C38" s="1021">
        <v>743</v>
      </c>
      <c r="D38" s="279">
        <v>1608</v>
      </c>
      <c r="E38" s="502"/>
      <c r="F38" s="1021">
        <v>657</v>
      </c>
      <c r="G38" s="279">
        <v>1402</v>
      </c>
    </row>
    <row r="39" spans="1:7" s="31" customFormat="1" ht="11.25" x14ac:dyDescent="0.25">
      <c r="A39" s="248" t="s">
        <v>649</v>
      </c>
      <c r="B39" s="248" t="s">
        <v>646</v>
      </c>
      <c r="C39" s="933">
        <v>1173</v>
      </c>
      <c r="D39" s="282">
        <v>2154</v>
      </c>
      <c r="E39" s="502"/>
      <c r="F39" s="933">
        <v>1110</v>
      </c>
      <c r="G39" s="282">
        <v>2029</v>
      </c>
    </row>
    <row r="40" spans="1:7" s="31" customFormat="1" ht="11.25" x14ac:dyDescent="0.25">
      <c r="A40" s="248" t="s">
        <v>641</v>
      </c>
      <c r="B40" s="248" t="s">
        <v>647</v>
      </c>
      <c r="C40" s="933">
        <v>17623</v>
      </c>
      <c r="D40" s="282">
        <v>15988</v>
      </c>
      <c r="E40" s="502"/>
      <c r="F40" s="933">
        <v>16780</v>
      </c>
      <c r="G40" s="282">
        <v>15136</v>
      </c>
    </row>
    <row r="41" spans="1:7" s="31" customFormat="1" ht="11.25" customHeight="1" thickBot="1" x14ac:dyDescent="0.3">
      <c r="A41" s="253" t="s">
        <v>634</v>
      </c>
      <c r="B41" s="812" t="s">
        <v>631</v>
      </c>
      <c r="C41" s="936">
        <v>37687</v>
      </c>
      <c r="D41" s="278">
        <v>28331</v>
      </c>
      <c r="E41" s="502"/>
      <c r="F41" s="936">
        <v>36620</v>
      </c>
      <c r="G41" s="278">
        <v>26916</v>
      </c>
    </row>
    <row r="42" spans="1:7" s="31" customFormat="1" ht="11.25" x14ac:dyDescent="0.25">
      <c r="A42" s="1031"/>
      <c r="B42" s="1031"/>
      <c r="C42" s="899">
        <v>134699</v>
      </c>
      <c r="D42" s="341">
        <v>147808</v>
      </c>
      <c r="E42" s="502"/>
      <c r="F42" s="899">
        <v>105257</v>
      </c>
      <c r="G42" s="341">
        <v>120500</v>
      </c>
    </row>
    <row r="43" spans="1:7" s="31" customFormat="1" ht="22.5" x14ac:dyDescent="0.2">
      <c r="A43" s="1022" t="s">
        <v>1161</v>
      </c>
      <c r="B43" s="1020" t="s">
        <v>1160</v>
      </c>
      <c r="C43" s="1023"/>
      <c r="D43" s="1020"/>
      <c r="E43" s="502"/>
      <c r="F43" s="1023"/>
      <c r="G43" s="338"/>
    </row>
    <row r="44" spans="1:7" s="31" customFormat="1" ht="11.25" x14ac:dyDescent="0.25">
      <c r="A44" s="178" t="s">
        <v>648</v>
      </c>
      <c r="B44" s="178" t="s">
        <v>645</v>
      </c>
      <c r="C44" s="1021">
        <v>-371</v>
      </c>
      <c r="D44" s="279">
        <v>-744</v>
      </c>
      <c r="E44" s="502"/>
      <c r="F44" s="1021">
        <v>-329</v>
      </c>
      <c r="G44" s="279">
        <v>-640</v>
      </c>
    </row>
    <row r="45" spans="1:7" s="31" customFormat="1" ht="11.25" x14ac:dyDescent="0.25">
      <c r="A45" s="248" t="s">
        <v>649</v>
      </c>
      <c r="B45" s="248" t="s">
        <v>646</v>
      </c>
      <c r="C45" s="933">
        <v>-880</v>
      </c>
      <c r="D45" s="282">
        <v>-1480</v>
      </c>
      <c r="E45" s="502"/>
      <c r="F45" s="933">
        <v>-833</v>
      </c>
      <c r="G45" s="282">
        <v>-1387</v>
      </c>
    </row>
    <row r="46" spans="1:7" s="31" customFormat="1" ht="11.25" x14ac:dyDescent="0.25">
      <c r="A46" s="248" t="s">
        <v>641</v>
      </c>
      <c r="B46" s="248" t="s">
        <v>647</v>
      </c>
      <c r="C46" s="933">
        <v>-17623</v>
      </c>
      <c r="D46" s="282">
        <v>-15988</v>
      </c>
      <c r="E46" s="502"/>
      <c r="F46" s="933">
        <v>-16780</v>
      </c>
      <c r="G46" s="282">
        <v>-15136</v>
      </c>
    </row>
    <row r="47" spans="1:7" s="31" customFormat="1" ht="11.25" customHeight="1" thickBot="1" x14ac:dyDescent="0.3">
      <c r="A47" s="253" t="s">
        <v>634</v>
      </c>
      <c r="B47" s="812" t="s">
        <v>631</v>
      </c>
      <c r="C47" s="936">
        <v>-26687</v>
      </c>
      <c r="D47" s="278">
        <v>-26589</v>
      </c>
      <c r="E47" s="502"/>
      <c r="F47" s="936">
        <v>-26530</v>
      </c>
      <c r="G47" s="278">
        <v>-26511</v>
      </c>
    </row>
    <row r="48" spans="1:7" s="31" customFormat="1" ht="11.25" x14ac:dyDescent="0.25">
      <c r="A48" s="1031"/>
      <c r="B48" s="1031"/>
      <c r="C48" s="899">
        <v>-45561</v>
      </c>
      <c r="D48" s="341">
        <v>-44801</v>
      </c>
      <c r="E48" s="502"/>
      <c r="F48" s="899">
        <v>-44472</v>
      </c>
      <c r="G48" s="341">
        <v>-43674</v>
      </c>
    </row>
    <row r="49" spans="1:7" s="31" customFormat="1" ht="22.5" x14ac:dyDescent="0.25">
      <c r="A49" s="255" t="s">
        <v>1162</v>
      </c>
      <c r="B49" s="255" t="s">
        <v>1163</v>
      </c>
      <c r="C49" s="1024"/>
      <c r="D49" s="255"/>
      <c r="E49" s="502"/>
      <c r="F49" s="1024"/>
      <c r="G49" s="765"/>
    </row>
    <row r="50" spans="1:7" s="31" customFormat="1" ht="11.25" x14ac:dyDescent="0.25">
      <c r="A50" s="178" t="s">
        <v>635</v>
      </c>
      <c r="B50" s="178" t="s">
        <v>636</v>
      </c>
      <c r="C50" s="867">
        <v>70290</v>
      </c>
      <c r="D50" s="229">
        <v>92450</v>
      </c>
      <c r="E50" s="502"/>
      <c r="F50" s="867">
        <v>46956</v>
      </c>
      <c r="G50" s="229">
        <v>69766</v>
      </c>
    </row>
    <row r="51" spans="1:7" s="31" customFormat="1" ht="11.25" x14ac:dyDescent="0.25">
      <c r="A51" s="253" t="s">
        <v>142</v>
      </c>
      <c r="B51" s="253" t="s">
        <v>267</v>
      </c>
      <c r="C51" s="936"/>
      <c r="D51" s="278"/>
      <c r="E51" s="502"/>
      <c r="F51" s="936"/>
      <c r="G51" s="278"/>
    </row>
    <row r="52" spans="1:7" s="31" customFormat="1" ht="11.25" x14ac:dyDescent="0.25">
      <c r="A52" s="178" t="s">
        <v>644</v>
      </c>
      <c r="B52" s="178" t="s">
        <v>643</v>
      </c>
      <c r="C52" s="867">
        <v>7183</v>
      </c>
      <c r="D52" s="229">
        <v>7277</v>
      </c>
      <c r="E52" s="502"/>
      <c r="F52" s="867">
        <v>3134</v>
      </c>
      <c r="G52" s="229">
        <v>5251</v>
      </c>
    </row>
    <row r="53" spans="1:7" s="31" customFormat="1" ht="11.25" x14ac:dyDescent="0.25">
      <c r="A53" s="253" t="s">
        <v>143</v>
      </c>
      <c r="B53" s="253" t="s">
        <v>269</v>
      </c>
      <c r="C53" s="936"/>
      <c r="D53" s="278"/>
      <c r="E53" s="502"/>
      <c r="F53" s="936"/>
      <c r="G53" s="278"/>
    </row>
    <row r="54" spans="1:7" s="31" customFormat="1" ht="11.25" x14ac:dyDescent="0.25">
      <c r="A54" s="178" t="s">
        <v>648</v>
      </c>
      <c r="B54" s="178" t="s">
        <v>645</v>
      </c>
      <c r="C54" s="867">
        <v>372</v>
      </c>
      <c r="D54" s="229">
        <v>864</v>
      </c>
      <c r="E54" s="502"/>
      <c r="F54" s="867">
        <v>328</v>
      </c>
      <c r="G54" s="229">
        <v>762</v>
      </c>
    </row>
    <row r="55" spans="1:7" s="31" customFormat="1" ht="11.25" x14ac:dyDescent="0.25">
      <c r="A55" s="248" t="s">
        <v>649</v>
      </c>
      <c r="B55" s="248" t="s">
        <v>646</v>
      </c>
      <c r="C55" s="839">
        <v>293</v>
      </c>
      <c r="D55" s="184">
        <v>674</v>
      </c>
      <c r="E55" s="502"/>
      <c r="F55" s="839">
        <v>277</v>
      </c>
      <c r="G55" s="184">
        <v>642</v>
      </c>
    </row>
    <row r="56" spans="1:7" s="31" customFormat="1" ht="11.25" customHeight="1" thickBot="1" x14ac:dyDescent="0.3">
      <c r="A56" s="253" t="s">
        <v>634</v>
      </c>
      <c r="B56" s="253" t="s">
        <v>631</v>
      </c>
      <c r="C56" s="855">
        <v>11000</v>
      </c>
      <c r="D56" s="201">
        <v>1742</v>
      </c>
      <c r="E56" s="502"/>
      <c r="F56" s="855">
        <v>10090</v>
      </c>
      <c r="G56" s="201">
        <v>405</v>
      </c>
    </row>
    <row r="57" spans="1:7" s="31" customFormat="1" ht="12" thickBot="1" x14ac:dyDescent="0.3">
      <c r="A57" s="353"/>
      <c r="B57" s="353"/>
      <c r="C57" s="787">
        <v>89138</v>
      </c>
      <c r="D57" s="714">
        <v>103007</v>
      </c>
      <c r="E57" s="502"/>
      <c r="F57" s="787">
        <v>60785</v>
      </c>
      <c r="G57" s="714">
        <v>76826</v>
      </c>
    </row>
    <row r="58" spans="1:7" ht="22.5" x14ac:dyDescent="0.2">
      <c r="A58" s="516" t="s">
        <v>920</v>
      </c>
      <c r="B58" s="521" t="s">
        <v>921</v>
      </c>
      <c r="C58" s="522"/>
      <c r="D58" s="252"/>
      <c r="E58" s="252"/>
      <c r="F58" s="252"/>
      <c r="G58" s="252"/>
    </row>
    <row r="59" spans="1:7" x14ac:dyDescent="0.25">
      <c r="A59" s="523"/>
      <c r="B59" s="523"/>
      <c r="C59" s="523"/>
      <c r="D59" s="252"/>
      <c r="E59" s="252"/>
      <c r="F59" s="252"/>
      <c r="G59" s="252"/>
    </row>
    <row r="60" spans="1:7" ht="39" thickBot="1" x14ac:dyDescent="0.25">
      <c r="A60" s="1279" t="s">
        <v>1165</v>
      </c>
      <c r="B60" s="519" t="s">
        <v>1164</v>
      </c>
      <c r="C60" s="252"/>
      <c r="D60" s="252"/>
      <c r="E60" s="252"/>
      <c r="F60" s="252"/>
      <c r="G60" s="1208" t="s">
        <v>1</v>
      </c>
    </row>
    <row r="61" spans="1:7" ht="15.75" customHeight="1" thickBot="1" x14ac:dyDescent="0.3">
      <c r="A61" s="508"/>
      <c r="B61" s="508"/>
      <c r="C61" s="1581" t="s">
        <v>949</v>
      </c>
      <c r="D61" s="1581"/>
      <c r="E61" s="535"/>
      <c r="F61" s="1581" t="s">
        <v>1403</v>
      </c>
      <c r="G61" s="1581"/>
    </row>
    <row r="62" spans="1:7" s="31" customFormat="1" ht="13.5" thickBot="1" x14ac:dyDescent="0.3">
      <c r="A62" s="99"/>
      <c r="B62" s="99"/>
      <c r="C62" s="1273" t="s">
        <v>957</v>
      </c>
      <c r="D62" s="1274" t="s">
        <v>819</v>
      </c>
      <c r="E62" s="530"/>
      <c r="F62" s="1273" t="s">
        <v>957</v>
      </c>
      <c r="G62" s="1274" t="s">
        <v>819</v>
      </c>
    </row>
    <row r="63" spans="1:7" s="31" customFormat="1" ht="11.25" x14ac:dyDescent="0.25">
      <c r="A63" s="308"/>
      <c r="B63" s="308"/>
      <c r="C63" s="853"/>
      <c r="D63" s="181"/>
      <c r="E63" s="502"/>
      <c r="F63" s="853"/>
      <c r="G63" s="181"/>
    </row>
    <row r="64" spans="1:7" s="31" customFormat="1" ht="22.5" x14ac:dyDescent="0.2">
      <c r="A64" s="321" t="s">
        <v>1601</v>
      </c>
      <c r="B64" s="810" t="s">
        <v>1600</v>
      </c>
      <c r="C64" s="1015"/>
      <c r="D64" s="99"/>
      <c r="E64" s="502"/>
      <c r="F64" s="1015"/>
      <c r="G64" s="99"/>
    </row>
    <row r="65" spans="1:7" s="31" customFormat="1" ht="11.25" x14ac:dyDescent="0.25">
      <c r="A65" s="178" t="s">
        <v>635</v>
      </c>
      <c r="B65" s="178" t="s">
        <v>636</v>
      </c>
      <c r="C65" s="1021">
        <v>16029</v>
      </c>
      <c r="D65" s="279">
        <v>15606</v>
      </c>
      <c r="E65" s="502"/>
      <c r="F65" s="1021">
        <v>12549</v>
      </c>
      <c r="G65" s="279">
        <v>11997</v>
      </c>
    </row>
    <row r="66" spans="1:7" s="31" customFormat="1" ht="11.25" x14ac:dyDescent="0.25">
      <c r="A66" s="253" t="s">
        <v>140</v>
      </c>
      <c r="B66" s="253" t="s">
        <v>267</v>
      </c>
      <c r="C66" s="936"/>
      <c r="D66" s="278"/>
      <c r="E66" s="502"/>
      <c r="F66" s="936"/>
      <c r="G66" s="278"/>
    </row>
    <row r="67" spans="1:7" s="31" customFormat="1" ht="11.25" x14ac:dyDescent="0.25">
      <c r="A67" s="178" t="s">
        <v>639</v>
      </c>
      <c r="B67" s="178" t="s">
        <v>637</v>
      </c>
      <c r="C67" s="1021">
        <v>143</v>
      </c>
      <c r="D67" s="279">
        <v>214</v>
      </c>
      <c r="E67" s="502"/>
      <c r="F67" s="1021">
        <v>55</v>
      </c>
      <c r="G67" s="279">
        <v>101</v>
      </c>
    </row>
    <row r="68" spans="1:7" s="31" customFormat="1" ht="11.25" x14ac:dyDescent="0.25">
      <c r="A68" s="253" t="s">
        <v>141</v>
      </c>
      <c r="B68" s="253" t="s">
        <v>268</v>
      </c>
      <c r="C68" s="936"/>
      <c r="D68" s="278"/>
      <c r="E68" s="502"/>
      <c r="F68" s="936"/>
      <c r="G68" s="278"/>
    </row>
    <row r="69" spans="1:7" s="31" customFormat="1" ht="11.25" x14ac:dyDescent="0.25">
      <c r="A69" s="178" t="s">
        <v>640</v>
      </c>
      <c r="B69" s="178" t="s">
        <v>638</v>
      </c>
      <c r="C69" s="1021">
        <v>118</v>
      </c>
      <c r="D69" s="279">
        <v>199</v>
      </c>
      <c r="E69" s="502"/>
      <c r="F69" s="1021">
        <v>12</v>
      </c>
      <c r="G69" s="279">
        <v>31</v>
      </c>
    </row>
    <row r="70" spans="1:7" s="31" customFormat="1" ht="11.25" x14ac:dyDescent="0.25">
      <c r="A70" s="248" t="s">
        <v>633</v>
      </c>
      <c r="B70" s="248" t="s">
        <v>632</v>
      </c>
      <c r="C70" s="933">
        <v>3160</v>
      </c>
      <c r="D70" s="282">
        <v>3051</v>
      </c>
      <c r="E70" s="502"/>
      <c r="F70" s="933">
        <v>390</v>
      </c>
      <c r="G70" s="282">
        <v>487</v>
      </c>
    </row>
    <row r="71" spans="1:7" s="31" customFormat="1" ht="11.25" customHeight="1" thickBot="1" x14ac:dyDescent="0.3">
      <c r="A71" s="253" t="s">
        <v>634</v>
      </c>
      <c r="B71" s="812" t="s">
        <v>631</v>
      </c>
      <c r="C71" s="936">
        <v>82</v>
      </c>
      <c r="D71" s="278">
        <v>147</v>
      </c>
      <c r="E71" s="502"/>
      <c r="F71" s="936" t="s">
        <v>572</v>
      </c>
      <c r="G71" s="278" t="s">
        <v>572</v>
      </c>
    </row>
    <row r="72" spans="1:7" s="31" customFormat="1" ht="11.25" x14ac:dyDescent="0.25">
      <c r="A72" s="1031"/>
      <c r="B72" s="1031"/>
      <c r="C72" s="899">
        <v>19532</v>
      </c>
      <c r="D72" s="341">
        <v>19217</v>
      </c>
      <c r="E72" s="502"/>
      <c r="F72" s="899">
        <v>13006</v>
      </c>
      <c r="G72" s="341">
        <v>12616</v>
      </c>
    </row>
    <row r="73" spans="1:7" s="31" customFormat="1" ht="22.5" x14ac:dyDescent="0.25">
      <c r="A73" s="255" t="s">
        <v>1602</v>
      </c>
      <c r="B73" s="255" t="s">
        <v>1603</v>
      </c>
      <c r="C73" s="1024"/>
      <c r="D73" s="255"/>
      <c r="E73" s="502"/>
      <c r="F73" s="1024"/>
      <c r="G73" s="338"/>
    </row>
    <row r="74" spans="1:7" s="31" customFormat="1" ht="11.25" x14ac:dyDescent="0.25">
      <c r="A74" s="178" t="s">
        <v>640</v>
      </c>
      <c r="B74" s="178" t="s">
        <v>638</v>
      </c>
      <c r="C74" s="1021">
        <v>-59</v>
      </c>
      <c r="D74" s="279">
        <v>-101</v>
      </c>
      <c r="E74" s="502"/>
      <c r="F74" s="1021">
        <v>-6</v>
      </c>
      <c r="G74" s="279">
        <v>-16</v>
      </c>
    </row>
    <row r="75" spans="1:7" s="31" customFormat="1" ht="11.25" x14ac:dyDescent="0.25">
      <c r="A75" s="248" t="s">
        <v>633</v>
      </c>
      <c r="B75" s="248" t="s">
        <v>632</v>
      </c>
      <c r="C75" s="933">
        <v>-3160</v>
      </c>
      <c r="D75" s="282">
        <v>-3051</v>
      </c>
      <c r="E75" s="502"/>
      <c r="F75" s="933">
        <v>-390</v>
      </c>
      <c r="G75" s="282">
        <v>-487</v>
      </c>
    </row>
    <row r="76" spans="1:7" s="31" customFormat="1" ht="11.25" customHeight="1" thickBot="1" x14ac:dyDescent="0.3">
      <c r="A76" s="253" t="s">
        <v>634</v>
      </c>
      <c r="B76" s="812" t="s">
        <v>631</v>
      </c>
      <c r="C76" s="936">
        <v>-82</v>
      </c>
      <c r="D76" s="278">
        <v>-147</v>
      </c>
      <c r="E76" s="502"/>
      <c r="F76" s="936" t="s">
        <v>572</v>
      </c>
      <c r="G76" s="278" t="s">
        <v>572</v>
      </c>
    </row>
    <row r="77" spans="1:7" s="31" customFormat="1" ht="11.25" x14ac:dyDescent="0.25">
      <c r="A77" s="1031"/>
      <c r="B77" s="1031"/>
      <c r="C77" s="899">
        <v>-3301</v>
      </c>
      <c r="D77" s="341">
        <v>-3299</v>
      </c>
      <c r="E77" s="502"/>
      <c r="F77" s="899">
        <v>-396</v>
      </c>
      <c r="G77" s="341">
        <v>-503</v>
      </c>
    </row>
    <row r="78" spans="1:7" s="31" customFormat="1" ht="22.5" x14ac:dyDescent="0.2">
      <c r="A78" s="1020" t="s">
        <v>1605</v>
      </c>
      <c r="B78" s="255" t="s">
        <v>1604</v>
      </c>
      <c r="C78" s="1024"/>
      <c r="D78" s="255"/>
      <c r="E78" s="502"/>
      <c r="F78" s="1024"/>
      <c r="G78" s="257"/>
    </row>
    <row r="79" spans="1:7" s="31" customFormat="1" ht="11.25" x14ac:dyDescent="0.25">
      <c r="A79" s="178" t="s">
        <v>635</v>
      </c>
      <c r="B79" s="178" t="s">
        <v>636</v>
      </c>
      <c r="C79" s="867">
        <v>16029</v>
      </c>
      <c r="D79" s="229">
        <v>15606</v>
      </c>
      <c r="E79" s="502"/>
      <c r="F79" s="867">
        <v>12549</v>
      </c>
      <c r="G79" s="229">
        <v>11997</v>
      </c>
    </row>
    <row r="80" spans="1:7" s="31" customFormat="1" ht="11.25" x14ac:dyDescent="0.25">
      <c r="A80" s="253" t="s">
        <v>142</v>
      </c>
      <c r="B80" s="253" t="s">
        <v>267</v>
      </c>
      <c r="C80" s="1025"/>
      <c r="D80" s="253"/>
      <c r="E80" s="502"/>
      <c r="F80" s="1025"/>
      <c r="G80" s="278"/>
    </row>
    <row r="81" spans="1:7" s="31" customFormat="1" ht="11.25" x14ac:dyDescent="0.25">
      <c r="A81" s="178" t="s">
        <v>639</v>
      </c>
      <c r="B81" s="178" t="s">
        <v>637</v>
      </c>
      <c r="C81" s="867">
        <v>143</v>
      </c>
      <c r="D81" s="229">
        <v>214</v>
      </c>
      <c r="E81" s="502"/>
      <c r="F81" s="867">
        <v>55</v>
      </c>
      <c r="G81" s="229">
        <v>101</v>
      </c>
    </row>
    <row r="82" spans="1:7" s="31" customFormat="1" ht="11.25" x14ac:dyDescent="0.25">
      <c r="A82" s="253" t="s">
        <v>141</v>
      </c>
      <c r="B82" s="253" t="s">
        <v>269</v>
      </c>
      <c r="C82" s="1025"/>
      <c r="D82" s="253"/>
      <c r="E82" s="502"/>
      <c r="F82" s="1025"/>
      <c r="G82" s="278"/>
    </row>
    <row r="83" spans="1:7" s="31" customFormat="1" ht="12" thickBot="1" x14ac:dyDescent="0.3">
      <c r="A83" s="312" t="s">
        <v>640</v>
      </c>
      <c r="B83" s="312" t="s">
        <v>638</v>
      </c>
      <c r="C83" s="857">
        <v>59</v>
      </c>
      <c r="D83" s="397">
        <v>98</v>
      </c>
      <c r="E83" s="502"/>
      <c r="F83" s="857">
        <v>6</v>
      </c>
      <c r="G83" s="397">
        <v>15</v>
      </c>
    </row>
    <row r="84" spans="1:7" s="31" customFormat="1" ht="12" thickBot="1" x14ac:dyDescent="0.3">
      <c r="A84" s="353"/>
      <c r="B84" s="353"/>
      <c r="C84" s="787">
        <v>16231</v>
      </c>
      <c r="D84" s="714">
        <v>15918</v>
      </c>
      <c r="E84" s="502"/>
      <c r="F84" s="787">
        <v>12610</v>
      </c>
      <c r="G84" s="714">
        <v>12113</v>
      </c>
    </row>
    <row r="85" spans="1:7" ht="22.5" x14ac:dyDescent="0.2">
      <c r="A85" s="516" t="s">
        <v>920</v>
      </c>
      <c r="B85" s="521" t="s">
        <v>921</v>
      </c>
      <c r="C85" s="522"/>
      <c r="D85" s="252"/>
      <c r="E85" s="252"/>
      <c r="F85" s="252"/>
      <c r="G85" s="252"/>
    </row>
    <row r="86" spans="1:7" x14ac:dyDescent="0.25">
      <c r="A86" s="517"/>
      <c r="B86" s="517"/>
      <c r="C86" s="252"/>
      <c r="D86" s="252"/>
      <c r="E86" s="252"/>
      <c r="F86" s="252"/>
      <c r="G86" s="252"/>
    </row>
    <row r="87" spans="1:7" s="57" customFormat="1" ht="26.25" thickBot="1" x14ac:dyDescent="0.25">
      <c r="A87" s="1278" t="s">
        <v>1609</v>
      </c>
      <c r="B87" s="518" t="s">
        <v>1608</v>
      </c>
      <c r="C87" s="525"/>
      <c r="D87" s="526"/>
      <c r="E87" s="526"/>
      <c r="F87" s="526"/>
      <c r="G87" s="1208" t="s">
        <v>1</v>
      </c>
    </row>
    <row r="88" spans="1:7" ht="15.75" customHeight="1" thickBot="1" x14ac:dyDescent="0.3">
      <c r="A88" s="508"/>
      <c r="B88" s="508"/>
      <c r="C88" s="1581" t="s">
        <v>949</v>
      </c>
      <c r="D88" s="1581"/>
      <c r="E88" s="535"/>
      <c r="F88" s="1581" t="s">
        <v>1403</v>
      </c>
      <c r="G88" s="1581"/>
    </row>
    <row r="89" spans="1:7" s="31" customFormat="1" ht="13.5" thickBot="1" x14ac:dyDescent="0.3">
      <c r="A89" s="99"/>
      <c r="B89" s="99"/>
      <c r="C89" s="1273" t="s">
        <v>957</v>
      </c>
      <c r="D89" s="1274" t="s">
        <v>819</v>
      </c>
      <c r="E89" s="530"/>
      <c r="F89" s="1273" t="s">
        <v>957</v>
      </c>
      <c r="G89" s="1274" t="s">
        <v>819</v>
      </c>
    </row>
    <row r="90" spans="1:7" s="31" customFormat="1" ht="11.25" x14ac:dyDescent="0.25">
      <c r="A90" s="289"/>
      <c r="B90" s="95"/>
      <c r="C90" s="1006"/>
      <c r="D90" s="95"/>
      <c r="E90" s="502"/>
      <c r="F90" s="1006"/>
      <c r="G90" s="95"/>
    </row>
    <row r="91" spans="1:7" s="31" customFormat="1" ht="22.5" x14ac:dyDescent="0.2">
      <c r="A91" s="810" t="s">
        <v>1186</v>
      </c>
      <c r="B91" s="321" t="s">
        <v>1185</v>
      </c>
      <c r="C91" s="1014"/>
      <c r="D91" s="99"/>
      <c r="E91" s="502"/>
      <c r="F91" s="1014"/>
      <c r="G91" s="99"/>
    </row>
    <row r="92" spans="1:7" s="31" customFormat="1" ht="11.25" x14ac:dyDescent="0.2">
      <c r="A92" s="1026" t="s">
        <v>1188</v>
      </c>
      <c r="B92" s="1027" t="s">
        <v>1189</v>
      </c>
      <c r="C92" s="1021">
        <v>58955</v>
      </c>
      <c r="D92" s="712">
        <v>73236</v>
      </c>
      <c r="E92" s="723"/>
      <c r="F92" s="1028">
        <v>37147</v>
      </c>
      <c r="G92" s="712">
        <v>53262</v>
      </c>
    </row>
    <row r="93" spans="1:7" s="31" customFormat="1" ht="11.25" customHeight="1" thickBot="1" x14ac:dyDescent="0.3">
      <c r="A93" s="744" t="s">
        <v>1187</v>
      </c>
      <c r="B93" s="745" t="s">
        <v>1190</v>
      </c>
      <c r="C93" s="933">
        <v>11335</v>
      </c>
      <c r="D93" s="282">
        <v>19214</v>
      </c>
      <c r="E93" s="502"/>
      <c r="F93" s="933">
        <v>9809</v>
      </c>
      <c r="G93" s="282">
        <v>16504</v>
      </c>
    </row>
    <row r="94" spans="1:7" s="31" customFormat="1" ht="12" thickBot="1" x14ac:dyDescent="0.3">
      <c r="A94" s="353"/>
      <c r="B94" s="353"/>
      <c r="C94" s="787">
        <v>70290</v>
      </c>
      <c r="D94" s="714">
        <v>92450</v>
      </c>
      <c r="E94" s="502"/>
      <c r="F94" s="787">
        <v>46956</v>
      </c>
      <c r="G94" s="714">
        <v>69766</v>
      </c>
    </row>
    <row r="95" spans="1:7" s="31" customFormat="1" ht="22.5" x14ac:dyDescent="0.2">
      <c r="A95" s="1020" t="s">
        <v>144</v>
      </c>
      <c r="B95" s="1020" t="s">
        <v>270</v>
      </c>
      <c r="C95" s="1023"/>
      <c r="D95" s="1020"/>
      <c r="E95" s="502"/>
      <c r="F95" s="1023"/>
      <c r="G95" s="257"/>
    </row>
    <row r="96" spans="1:7" s="31" customFormat="1" ht="11.25" x14ac:dyDescent="0.2">
      <c r="A96" s="325" t="s">
        <v>627</v>
      </c>
      <c r="B96" s="1029" t="s">
        <v>629</v>
      </c>
      <c r="C96" s="1021">
        <v>15459</v>
      </c>
      <c r="D96" s="712">
        <v>14790</v>
      </c>
      <c r="E96" s="502"/>
      <c r="F96" s="1021">
        <v>12257</v>
      </c>
      <c r="G96" s="279">
        <v>11727</v>
      </c>
    </row>
    <row r="97" spans="1:7" s="31" customFormat="1" ht="12" thickBot="1" x14ac:dyDescent="0.25">
      <c r="A97" s="1018" t="s">
        <v>628</v>
      </c>
      <c r="B97" s="1019" t="s">
        <v>630</v>
      </c>
      <c r="C97" s="933">
        <v>570</v>
      </c>
      <c r="D97" s="283">
        <v>816</v>
      </c>
      <c r="E97" s="502"/>
      <c r="F97" s="936">
        <v>292</v>
      </c>
      <c r="G97" s="278">
        <v>270</v>
      </c>
    </row>
    <row r="98" spans="1:7" s="31" customFormat="1" ht="12" thickBot="1" x14ac:dyDescent="0.3">
      <c r="A98" s="273"/>
      <c r="B98" s="273"/>
      <c r="C98" s="787">
        <v>16029</v>
      </c>
      <c r="D98" s="714">
        <v>15606</v>
      </c>
      <c r="E98" s="502"/>
      <c r="F98" s="787">
        <v>12549</v>
      </c>
      <c r="G98" s="714">
        <v>11997</v>
      </c>
    </row>
    <row r="99" spans="1:7" x14ac:dyDescent="0.25">
      <c r="A99" s="527"/>
      <c r="B99" s="527"/>
      <c r="C99" s="527"/>
      <c r="D99" s="305"/>
      <c r="E99" s="252"/>
      <c r="F99" s="252"/>
      <c r="G99" s="252"/>
    </row>
    <row r="100" spans="1:7" x14ac:dyDescent="0.25">
      <c r="A100" s="527"/>
      <c r="B100" s="527"/>
      <c r="C100" s="527"/>
      <c r="D100" s="305"/>
      <c r="E100" s="252"/>
      <c r="F100" s="252"/>
      <c r="G100" s="252"/>
    </row>
    <row r="101" spans="1:7" s="27" customFormat="1" ht="26.25" thickBot="1" x14ac:dyDescent="0.25">
      <c r="A101" s="518" t="s">
        <v>1606</v>
      </c>
      <c r="B101" s="518" t="s">
        <v>1607</v>
      </c>
      <c r="C101" s="28"/>
      <c r="D101" s="510"/>
      <c r="E101" s="510"/>
      <c r="F101" s="510"/>
      <c r="G101" s="1208" t="s">
        <v>1</v>
      </c>
    </row>
    <row r="102" spans="1:7" ht="15.75" customHeight="1" thickBot="1" x14ac:dyDescent="0.3">
      <c r="A102" s="508"/>
      <c r="B102" s="508"/>
      <c r="C102" s="1581" t="s">
        <v>949</v>
      </c>
      <c r="D102" s="1581"/>
      <c r="E102" s="535"/>
      <c r="F102" s="1581" t="s">
        <v>1403</v>
      </c>
      <c r="G102" s="1581"/>
    </row>
    <row r="103" spans="1:7" s="31" customFormat="1" ht="13.5" thickBot="1" x14ac:dyDescent="0.3">
      <c r="A103" s="99"/>
      <c r="B103" s="99"/>
      <c r="C103" s="1273" t="s">
        <v>979</v>
      </c>
      <c r="D103" s="1274" t="s">
        <v>980</v>
      </c>
      <c r="E103" s="530"/>
      <c r="F103" s="1273" t="s">
        <v>979</v>
      </c>
      <c r="G103" s="1274" t="s">
        <v>980</v>
      </c>
    </row>
    <row r="104" spans="1:7" s="31" customFormat="1" ht="11.25" x14ac:dyDescent="0.25">
      <c r="A104" s="181"/>
      <c r="B104" s="181"/>
      <c r="C104" s="861"/>
      <c r="D104" s="99"/>
      <c r="E104" s="502"/>
      <c r="F104" s="861"/>
      <c r="G104" s="99"/>
    </row>
    <row r="105" spans="1:7" s="31" customFormat="1" ht="11.25" x14ac:dyDescent="0.25">
      <c r="A105" s="181"/>
      <c r="B105" s="181"/>
      <c r="C105" s="861"/>
      <c r="D105" s="99"/>
      <c r="E105" s="502"/>
      <c r="F105" s="861"/>
      <c r="G105" s="99"/>
    </row>
    <row r="106" spans="1:7" s="31" customFormat="1" ht="11.25" x14ac:dyDescent="0.25">
      <c r="A106" s="330" t="s">
        <v>103</v>
      </c>
      <c r="B106" s="528" t="s">
        <v>271</v>
      </c>
      <c r="C106" s="976">
        <v>48100</v>
      </c>
      <c r="D106" s="404">
        <v>46089</v>
      </c>
      <c r="E106" s="502"/>
      <c r="F106" s="976">
        <v>44177</v>
      </c>
      <c r="G106" s="404">
        <v>43422</v>
      </c>
    </row>
    <row r="107" spans="1:7" s="31" customFormat="1" ht="11.25" x14ac:dyDescent="0.25">
      <c r="A107" s="248" t="s">
        <v>145</v>
      </c>
      <c r="B107" s="248" t="s">
        <v>272</v>
      </c>
      <c r="C107" s="839">
        <v>-1710</v>
      </c>
      <c r="D107" s="184">
        <v>-1511</v>
      </c>
      <c r="E107" s="502"/>
      <c r="F107" s="839">
        <v>-1343</v>
      </c>
      <c r="G107" s="184">
        <v>-1294</v>
      </c>
    </row>
    <row r="108" spans="1:7" s="31" customFormat="1" ht="12" thickBot="1" x14ac:dyDescent="0.3">
      <c r="A108" s="253" t="s">
        <v>146</v>
      </c>
      <c r="B108" s="253" t="s">
        <v>905</v>
      </c>
      <c r="C108" s="936">
        <v>2472</v>
      </c>
      <c r="D108" s="278">
        <v>3522</v>
      </c>
      <c r="E108" s="502"/>
      <c r="F108" s="936">
        <v>2034</v>
      </c>
      <c r="G108" s="278">
        <v>2049</v>
      </c>
    </row>
    <row r="109" spans="1:7" s="31" customFormat="1" ht="12" thickBot="1" x14ac:dyDescent="0.3">
      <c r="A109" s="326" t="s">
        <v>105</v>
      </c>
      <c r="B109" s="326" t="s">
        <v>273</v>
      </c>
      <c r="C109" s="948">
        <v>48862</v>
      </c>
      <c r="D109" s="743">
        <v>48100</v>
      </c>
      <c r="E109" s="502"/>
      <c r="F109" s="948">
        <v>44868</v>
      </c>
      <c r="G109" s="743">
        <v>44177</v>
      </c>
    </row>
    <row r="110" spans="1:7" s="31" customFormat="1" ht="11.25" x14ac:dyDescent="0.25">
      <c r="A110" s="529"/>
      <c r="B110" s="529"/>
      <c r="C110" s="529"/>
      <c r="D110" s="502"/>
      <c r="E110" s="502"/>
      <c r="F110" s="502"/>
      <c r="G110" s="502"/>
    </row>
    <row r="111" spans="1:7" s="55" customFormat="1" ht="13.5" thickBot="1" x14ac:dyDescent="0.25">
      <c r="A111" s="524" t="s">
        <v>1404</v>
      </c>
      <c r="B111" s="524" t="s">
        <v>1405</v>
      </c>
      <c r="C111" s="31"/>
      <c r="D111" s="530"/>
      <c r="E111" s="530"/>
      <c r="F111" s="530"/>
      <c r="G111" s="1208" t="s">
        <v>1</v>
      </c>
    </row>
    <row r="112" spans="1:7" ht="15.75" customHeight="1" thickBot="1" x14ac:dyDescent="0.3">
      <c r="A112" s="508"/>
      <c r="B112" s="508"/>
      <c r="C112" s="1581" t="s">
        <v>949</v>
      </c>
      <c r="D112" s="1581"/>
      <c r="E112" s="535"/>
      <c r="F112" s="1581" t="s">
        <v>1403</v>
      </c>
      <c r="G112" s="1581"/>
    </row>
    <row r="113" spans="1:7" s="31" customFormat="1" ht="13.5" thickBot="1" x14ac:dyDescent="0.3">
      <c r="A113" s="99"/>
      <c r="B113" s="99"/>
      <c r="C113" s="1273" t="s">
        <v>957</v>
      </c>
      <c r="D113" s="1274" t="s">
        <v>819</v>
      </c>
      <c r="E113" s="530"/>
      <c r="F113" s="1273" t="s">
        <v>957</v>
      </c>
      <c r="G113" s="1274" t="s">
        <v>819</v>
      </c>
    </row>
    <row r="114" spans="1:7" s="31" customFormat="1" ht="11.25" x14ac:dyDescent="0.25">
      <c r="A114" s="181"/>
      <c r="B114" s="181"/>
      <c r="C114" s="1013"/>
      <c r="D114" s="515"/>
      <c r="E114" s="502"/>
      <c r="F114" s="1013"/>
      <c r="G114" s="515"/>
    </row>
    <row r="115" spans="1:7" s="31" customFormat="1" ht="12" thickBot="1" x14ac:dyDescent="0.25">
      <c r="A115" s="520" t="s">
        <v>1414</v>
      </c>
      <c r="B115" s="520" t="s">
        <v>1416</v>
      </c>
      <c r="C115" s="854">
        <v>3229</v>
      </c>
      <c r="D115" s="187">
        <v>986</v>
      </c>
      <c r="E115" s="502"/>
      <c r="F115" s="854">
        <v>284</v>
      </c>
      <c r="G115" s="187">
        <v>978</v>
      </c>
    </row>
    <row r="116" spans="1:7" s="31" customFormat="1" ht="12" thickBot="1" x14ac:dyDescent="0.3">
      <c r="A116" s="326" t="s">
        <v>1406</v>
      </c>
      <c r="B116" s="326" t="s">
        <v>1407</v>
      </c>
      <c r="C116" s="787">
        <v>3229</v>
      </c>
      <c r="D116" s="714">
        <v>986</v>
      </c>
      <c r="E116" s="502"/>
      <c r="F116" s="787">
        <v>284</v>
      </c>
      <c r="G116" s="714">
        <v>978</v>
      </c>
    </row>
    <row r="117" spans="1:7" s="31" customFormat="1" ht="11.25" x14ac:dyDescent="0.25">
      <c r="A117" s="330"/>
      <c r="B117" s="330"/>
      <c r="C117" s="931"/>
      <c r="D117" s="284"/>
      <c r="E117" s="502"/>
      <c r="F117" s="931"/>
      <c r="G117" s="284"/>
    </row>
    <row r="118" spans="1:7" s="31" customFormat="1" ht="11.25" x14ac:dyDescent="0.25">
      <c r="A118" s="181"/>
      <c r="B118" s="181"/>
      <c r="C118" s="1013"/>
      <c r="D118" s="515"/>
      <c r="E118" s="502"/>
      <c r="F118" s="1013"/>
      <c r="G118" s="515"/>
    </row>
    <row r="119" spans="1:7" s="31" customFormat="1" ht="11.25" x14ac:dyDescent="0.25">
      <c r="A119" s="555" t="s">
        <v>1611</v>
      </c>
      <c r="B119" s="555" t="s">
        <v>1443</v>
      </c>
      <c r="C119" s="1013"/>
      <c r="D119" s="515"/>
      <c r="E119" s="502"/>
      <c r="F119" s="1013"/>
      <c r="G119" s="515"/>
    </row>
    <row r="120" spans="1:7" s="31" customFormat="1" ht="22.5" x14ac:dyDescent="0.2">
      <c r="A120" s="520" t="s">
        <v>1610</v>
      </c>
      <c r="B120" s="520" t="s">
        <v>1614</v>
      </c>
      <c r="C120" s="854">
        <v>454413</v>
      </c>
      <c r="D120" s="187" t="s">
        <v>625</v>
      </c>
      <c r="E120" s="107"/>
      <c r="F120" s="854" t="s">
        <v>625</v>
      </c>
      <c r="G120" s="187" t="s">
        <v>625</v>
      </c>
    </row>
    <row r="121" spans="1:7" s="31" customFormat="1" ht="22.5" x14ac:dyDescent="0.2">
      <c r="A121" s="1280" t="s">
        <v>1411</v>
      </c>
      <c r="B121" s="520" t="s">
        <v>1415</v>
      </c>
      <c r="C121" s="854">
        <v>164365</v>
      </c>
      <c r="D121" s="187">
        <v>142132</v>
      </c>
      <c r="E121" s="502"/>
      <c r="F121" s="854" t="s">
        <v>625</v>
      </c>
      <c r="G121" s="187" t="s">
        <v>625</v>
      </c>
    </row>
    <row r="122" spans="1:7" s="31" customFormat="1" ht="11.25" x14ac:dyDescent="0.2">
      <c r="A122" s="520" t="s">
        <v>1143</v>
      </c>
      <c r="B122" s="520" t="s">
        <v>1144</v>
      </c>
      <c r="C122" s="854">
        <v>3535</v>
      </c>
      <c r="D122" s="187">
        <v>3911</v>
      </c>
      <c r="E122" s="502"/>
      <c r="F122" s="854">
        <v>2443</v>
      </c>
      <c r="G122" s="187">
        <v>2610</v>
      </c>
    </row>
    <row r="123" spans="1:7" s="31" customFormat="1" ht="11.25" x14ac:dyDescent="0.2">
      <c r="A123" s="520" t="s">
        <v>1142</v>
      </c>
      <c r="B123" s="520" t="s">
        <v>1141</v>
      </c>
      <c r="C123" s="854" t="s">
        <v>625</v>
      </c>
      <c r="D123" s="187" t="s">
        <v>625</v>
      </c>
      <c r="E123" s="502"/>
      <c r="F123" s="854">
        <v>10664</v>
      </c>
      <c r="G123" s="187">
        <v>6875</v>
      </c>
    </row>
    <row r="124" spans="1:7" s="31" customFormat="1" ht="11.25" x14ac:dyDescent="0.25">
      <c r="A124" s="531" t="s">
        <v>902</v>
      </c>
      <c r="B124" s="248" t="s">
        <v>903</v>
      </c>
      <c r="C124" s="839">
        <v>3572</v>
      </c>
      <c r="D124" s="184">
        <v>1024</v>
      </c>
      <c r="E124" s="502"/>
      <c r="F124" s="839">
        <v>872</v>
      </c>
      <c r="G124" s="184">
        <v>1024</v>
      </c>
    </row>
    <row r="125" spans="1:7" s="31" customFormat="1" ht="12" thickBot="1" x14ac:dyDescent="0.3">
      <c r="A125" s="531" t="s">
        <v>150</v>
      </c>
      <c r="B125" s="248" t="s">
        <v>361</v>
      </c>
      <c r="C125" s="839">
        <v>15947</v>
      </c>
      <c r="D125" s="184">
        <v>2794</v>
      </c>
      <c r="E125" s="502"/>
      <c r="F125" s="839">
        <v>3959</v>
      </c>
      <c r="G125" s="184">
        <v>927</v>
      </c>
    </row>
    <row r="126" spans="1:7" s="31" customFormat="1" ht="12" thickBot="1" x14ac:dyDescent="0.3">
      <c r="A126" s="326" t="s">
        <v>1612</v>
      </c>
      <c r="B126" s="326" t="s">
        <v>1615</v>
      </c>
      <c r="C126" s="787">
        <v>641832</v>
      </c>
      <c r="D126" s="714">
        <v>149861</v>
      </c>
      <c r="E126" s="502"/>
      <c r="F126" s="787">
        <v>17938</v>
      </c>
      <c r="G126" s="714">
        <v>11436</v>
      </c>
    </row>
    <row r="127" spans="1:7" s="31" customFormat="1" ht="11.25" x14ac:dyDescent="0.25">
      <c r="A127" s="330"/>
      <c r="B127" s="330"/>
      <c r="C127" s="931"/>
      <c r="D127" s="284"/>
      <c r="E127" s="502"/>
      <c r="F127" s="931"/>
      <c r="G127" s="284"/>
    </row>
    <row r="128" spans="1:7" s="31" customFormat="1" ht="11.25" x14ac:dyDescent="0.25">
      <c r="A128" s="555" t="s">
        <v>1446</v>
      </c>
      <c r="B128" s="555" t="s">
        <v>1444</v>
      </c>
      <c r="C128" s="931"/>
      <c r="D128" s="284"/>
      <c r="E128" s="502"/>
      <c r="F128" s="931"/>
      <c r="G128" s="284"/>
    </row>
    <row r="129" spans="1:7" s="31" customFormat="1" ht="11.25" x14ac:dyDescent="0.2">
      <c r="A129" s="1147" t="s">
        <v>148</v>
      </c>
      <c r="B129" s="520" t="s">
        <v>626</v>
      </c>
      <c r="C129" s="854">
        <v>3703</v>
      </c>
      <c r="D129" s="187">
        <v>4008</v>
      </c>
      <c r="E129" s="107"/>
      <c r="F129" s="854">
        <v>22</v>
      </c>
      <c r="G129" s="187">
        <v>17</v>
      </c>
    </row>
    <row r="130" spans="1:7" s="31" customFormat="1" ht="12" thickBot="1" x14ac:dyDescent="0.3">
      <c r="A130" s="1017" t="s">
        <v>904</v>
      </c>
      <c r="B130" s="253" t="s">
        <v>906</v>
      </c>
      <c r="C130" s="855">
        <v>1226</v>
      </c>
      <c r="D130" s="201">
        <v>1164</v>
      </c>
      <c r="E130" s="502"/>
      <c r="F130" s="855">
        <v>119</v>
      </c>
      <c r="G130" s="201">
        <v>150</v>
      </c>
    </row>
    <row r="131" spans="1:7" s="31" customFormat="1" ht="12" thickBot="1" x14ac:dyDescent="0.3">
      <c r="A131" s="326" t="s">
        <v>1445</v>
      </c>
      <c r="B131" s="326" t="s">
        <v>1442</v>
      </c>
      <c r="C131" s="787">
        <v>4929</v>
      </c>
      <c r="D131" s="714">
        <v>5172</v>
      </c>
      <c r="E131" s="502"/>
      <c r="F131" s="787">
        <v>141</v>
      </c>
      <c r="G131" s="714">
        <v>167</v>
      </c>
    </row>
    <row r="132" spans="1:7" s="31" customFormat="1" ht="12" thickBot="1" x14ac:dyDescent="0.3">
      <c r="A132" s="326" t="s">
        <v>1408</v>
      </c>
      <c r="B132" s="326" t="s">
        <v>1409</v>
      </c>
      <c r="C132" s="787">
        <v>646761</v>
      </c>
      <c r="D132" s="714">
        <v>155033</v>
      </c>
      <c r="E132" s="502"/>
      <c r="F132" s="787">
        <v>18079</v>
      </c>
      <c r="G132" s="714">
        <v>11603</v>
      </c>
    </row>
    <row r="133" spans="1:7" s="31" customFormat="1" ht="12" thickBot="1" x14ac:dyDescent="0.3">
      <c r="A133" s="330"/>
      <c r="B133" s="330"/>
      <c r="C133" s="931"/>
      <c r="D133" s="284"/>
      <c r="E133" s="502"/>
      <c r="F133" s="931"/>
      <c r="G133" s="284"/>
    </row>
    <row r="134" spans="1:7" s="31" customFormat="1" ht="12" thickBot="1" x14ac:dyDescent="0.3">
      <c r="A134" s="326" t="s">
        <v>1613</v>
      </c>
      <c r="B134" s="326" t="s">
        <v>1410</v>
      </c>
      <c r="C134" s="787">
        <v>649990</v>
      </c>
      <c r="D134" s="714">
        <v>156019</v>
      </c>
      <c r="E134" s="502"/>
      <c r="F134" s="787">
        <v>18363</v>
      </c>
      <c r="G134" s="714">
        <v>12581</v>
      </c>
    </row>
    <row r="135" spans="1:7" ht="9.75" customHeight="1" x14ac:dyDescent="0.25">
      <c r="A135" s="532"/>
      <c r="B135" s="532"/>
      <c r="C135" s="532"/>
      <c r="D135" s="252"/>
      <c r="E135" s="252"/>
      <c r="F135" s="252"/>
      <c r="G135" s="252"/>
    </row>
    <row r="136" spans="1:7" ht="14.25" customHeight="1" x14ac:dyDescent="0.25">
      <c r="A136" s="1582" t="s">
        <v>1419</v>
      </c>
      <c r="B136" s="1582"/>
      <c r="C136" s="1582"/>
      <c r="D136" s="1582"/>
      <c r="E136" s="252"/>
      <c r="F136" s="252"/>
      <c r="G136" s="252"/>
    </row>
    <row r="137" spans="1:7" ht="28.5" customHeight="1" x14ac:dyDescent="0.25">
      <c r="A137" s="1582" t="s">
        <v>1420</v>
      </c>
      <c r="B137" s="1582"/>
      <c r="C137" s="1582"/>
      <c r="D137" s="1582"/>
      <c r="E137" s="252"/>
      <c r="F137" s="252"/>
      <c r="G137" s="252"/>
    </row>
    <row r="138" spans="1:7" ht="28.5" customHeight="1" x14ac:dyDescent="0.25">
      <c r="A138" s="1582" t="s">
        <v>1418</v>
      </c>
      <c r="B138" s="1582"/>
      <c r="C138" s="1582"/>
      <c r="D138" s="1582"/>
      <c r="E138" s="252"/>
      <c r="F138" s="252"/>
      <c r="G138" s="252"/>
    </row>
    <row r="139" spans="1:7" ht="29.25" customHeight="1" x14ac:dyDescent="0.25">
      <c r="A139" s="1582" t="s">
        <v>1417</v>
      </c>
      <c r="B139" s="1582"/>
      <c r="C139" s="1582"/>
      <c r="D139" s="1582"/>
      <c r="E139" s="252"/>
      <c r="F139" s="252"/>
      <c r="G139" s="252"/>
    </row>
    <row r="140" spans="1:7" ht="48.75" customHeight="1" x14ac:dyDescent="0.25">
      <c r="A140" s="1582" t="s">
        <v>1412</v>
      </c>
      <c r="B140" s="1582"/>
      <c r="C140" s="1582"/>
      <c r="D140" s="1582"/>
      <c r="E140" s="252"/>
      <c r="F140" s="252"/>
      <c r="G140" s="252"/>
    </row>
    <row r="141" spans="1:7" ht="59.25" customHeight="1" x14ac:dyDescent="0.25">
      <c r="A141" s="1582" t="s">
        <v>1413</v>
      </c>
      <c r="B141" s="1582"/>
      <c r="C141" s="1582"/>
      <c r="D141" s="1582"/>
      <c r="E141" s="252"/>
      <c r="F141" s="252"/>
      <c r="G141" s="252"/>
    </row>
    <row r="142" spans="1:7" ht="10.5" customHeight="1" x14ac:dyDescent="0.25">
      <c r="A142" s="516"/>
      <c r="B142" s="516"/>
      <c r="C142" s="516"/>
      <c r="D142" s="516"/>
      <c r="E142" s="252"/>
      <c r="F142" s="252"/>
      <c r="G142" s="252"/>
    </row>
    <row r="143" spans="1:7" x14ac:dyDescent="0.25">
      <c r="A143" s="532"/>
      <c r="B143" s="532"/>
      <c r="C143" s="532"/>
      <c r="D143" s="252"/>
      <c r="E143" s="252"/>
      <c r="F143" s="252"/>
      <c r="G143" s="252"/>
    </row>
    <row r="144" spans="1:7" s="30" customFormat="1" ht="18.75" thickBot="1" x14ac:dyDescent="0.25">
      <c r="A144" s="511" t="s">
        <v>978</v>
      </c>
      <c r="B144" s="533" t="s">
        <v>1616</v>
      </c>
      <c r="C144" s="533"/>
      <c r="D144" s="534"/>
      <c r="E144" s="512"/>
      <c r="F144" s="512"/>
      <c r="G144" s="1208" t="s">
        <v>1</v>
      </c>
    </row>
    <row r="145" spans="1:7" ht="15.75" customHeight="1" thickBot="1" x14ac:dyDescent="0.3">
      <c r="A145" s="508"/>
      <c r="B145" s="508"/>
      <c r="C145" s="1581" t="s">
        <v>949</v>
      </c>
      <c r="D145" s="1581"/>
      <c r="E145" s="535"/>
      <c r="F145" s="1581" t="s">
        <v>1403</v>
      </c>
      <c r="G145" s="1581"/>
    </row>
    <row r="146" spans="1:7" s="31" customFormat="1" ht="13.5" thickBot="1" x14ac:dyDescent="0.3">
      <c r="A146" s="99"/>
      <c r="B146" s="99"/>
      <c r="C146" s="1273" t="s">
        <v>957</v>
      </c>
      <c r="D146" s="1274" t="s">
        <v>819</v>
      </c>
      <c r="E146" s="530"/>
      <c r="F146" s="1273" t="s">
        <v>957</v>
      </c>
      <c r="G146" s="1274" t="s">
        <v>819</v>
      </c>
    </row>
    <row r="147" spans="1:7" s="31" customFormat="1" ht="11.25" x14ac:dyDescent="0.25">
      <c r="A147" s="181"/>
      <c r="B147" s="181"/>
      <c r="C147" s="861"/>
      <c r="D147" s="99"/>
      <c r="E147" s="502"/>
      <c r="F147" s="861"/>
      <c r="G147" s="99"/>
    </row>
    <row r="148" spans="1:7" s="31" customFormat="1" ht="11.25" x14ac:dyDescent="0.25">
      <c r="A148" s="181"/>
      <c r="B148" s="181"/>
      <c r="C148" s="861"/>
      <c r="D148" s="99"/>
      <c r="E148" s="502"/>
      <c r="F148" s="861"/>
      <c r="G148" s="99"/>
    </row>
    <row r="149" spans="1:7" s="31" customFormat="1" ht="11.25" x14ac:dyDescent="0.2">
      <c r="A149" s="312" t="s">
        <v>151</v>
      </c>
      <c r="B149" s="471" t="s">
        <v>274</v>
      </c>
      <c r="C149" s="955">
        <v>233624</v>
      </c>
      <c r="D149" s="418">
        <v>176626</v>
      </c>
      <c r="E149" s="502"/>
      <c r="F149" s="955">
        <v>230476</v>
      </c>
      <c r="G149" s="418">
        <v>173843</v>
      </c>
    </row>
    <row r="150" spans="1:7" s="31" customFormat="1" ht="11.25" x14ac:dyDescent="0.25">
      <c r="A150" s="248" t="s">
        <v>152</v>
      </c>
      <c r="B150" s="480" t="s">
        <v>624</v>
      </c>
      <c r="C150" s="839" t="s">
        <v>625</v>
      </c>
      <c r="D150" s="184">
        <v>7000</v>
      </c>
      <c r="E150" s="502"/>
      <c r="F150" s="839" t="s">
        <v>625</v>
      </c>
      <c r="G150" s="184">
        <v>7000</v>
      </c>
    </row>
    <row r="151" spans="1:7" s="31" customFormat="1" ht="12" thickBot="1" x14ac:dyDescent="0.3">
      <c r="A151" s="253" t="s">
        <v>523</v>
      </c>
      <c r="B151" s="256" t="s">
        <v>524</v>
      </c>
      <c r="C151" s="855">
        <v>2379</v>
      </c>
      <c r="D151" s="201">
        <v>354</v>
      </c>
      <c r="E151" s="502"/>
      <c r="F151" s="855">
        <v>2379</v>
      </c>
      <c r="G151" s="201">
        <v>354</v>
      </c>
    </row>
    <row r="152" spans="1:7" s="31" customFormat="1" ht="12" thickBot="1" x14ac:dyDescent="0.3">
      <c r="A152" s="273" t="s">
        <v>497</v>
      </c>
      <c r="B152" s="274" t="s">
        <v>907</v>
      </c>
      <c r="C152" s="884">
        <f>SUM(C149:C151)</f>
        <v>236003</v>
      </c>
      <c r="D152" s="272">
        <f>SUM(D149:D151)</f>
        <v>183980</v>
      </c>
      <c r="E152" s="502"/>
      <c r="F152" s="884">
        <f>SUM(F149:F151)</f>
        <v>232855</v>
      </c>
      <c r="G152" s="272">
        <f>SUM(G149:G151)</f>
        <v>181197</v>
      </c>
    </row>
    <row r="153" spans="1:7" ht="8.4499999999999993" customHeight="1" x14ac:dyDescent="0.25">
      <c r="A153" s="58"/>
      <c r="B153" s="58"/>
      <c r="C153" s="58"/>
    </row>
    <row r="154" spans="1:7" ht="27.75" customHeight="1" x14ac:dyDescent="0.25">
      <c r="A154" s="1583" t="s">
        <v>1619</v>
      </c>
      <c r="B154" s="1583"/>
      <c r="C154" s="1583"/>
      <c r="D154" s="1583"/>
    </row>
    <row r="155" spans="1:7" ht="27.75" customHeight="1" x14ac:dyDescent="0.25">
      <c r="A155" s="1583" t="s">
        <v>1618</v>
      </c>
      <c r="B155" s="1583"/>
      <c r="C155" s="1583"/>
      <c r="D155" s="1583"/>
    </row>
  </sheetData>
  <sheetProtection algorithmName="SHA-512" hashValue="E9TX9WO/ne5+TkeT/4aw/OwLM461/EjXwvJWJGtR/bhGLXpgU7EMfABObs3IR1Ffhsf+EDFbjjAa61zk6KN6mw==" saltValue="D3MW8U6ibDaTOtreLV7anw==" spinCount="100000" sheet="1" objects="1" scenarios="1"/>
  <mergeCells count="22">
    <mergeCell ref="A155:D155"/>
    <mergeCell ref="A154:D154"/>
    <mergeCell ref="A141:D141"/>
    <mergeCell ref="A140:D140"/>
    <mergeCell ref="C7:D7"/>
    <mergeCell ref="C88:D88"/>
    <mergeCell ref="F7:G7"/>
    <mergeCell ref="C30:D30"/>
    <mergeCell ref="F30:G30"/>
    <mergeCell ref="C61:D61"/>
    <mergeCell ref="F61:G61"/>
    <mergeCell ref="F88:G88"/>
    <mergeCell ref="C112:D112"/>
    <mergeCell ref="F112:G112"/>
    <mergeCell ref="C145:D145"/>
    <mergeCell ref="F145:G145"/>
    <mergeCell ref="C102:D102"/>
    <mergeCell ref="F102:G102"/>
    <mergeCell ref="A139:D139"/>
    <mergeCell ref="A137:D137"/>
    <mergeCell ref="A138:D138"/>
    <mergeCell ref="A136:D136"/>
  </mergeCells>
  <pageMargins left="0" right="0" top="0" bottom="0" header="0.31496062992125984" footer="0.31496062992125984"/>
  <pageSetup paperSize="9" scale="9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80"/>
  <sheetViews>
    <sheetView showGridLines="0" workbookViewId="0">
      <pane ySplit="2" topLeftCell="A3" activePane="bottomLeft" state="frozen"/>
      <selection pane="bottomLeft" activeCell="A3" sqref="A3"/>
    </sheetView>
  </sheetViews>
  <sheetFormatPr defaultColWidth="9.140625" defaultRowHeight="15" outlineLevelRow="1" outlineLevelCol="1" x14ac:dyDescent="0.25"/>
  <cols>
    <col min="1" max="1" width="49.5703125" style="252" customWidth="1"/>
    <col min="2" max="2" width="49.5703125" style="252" customWidth="1" outlineLevel="1"/>
    <col min="3" max="3" width="10.85546875" style="252" customWidth="1" outlineLevel="1"/>
    <col min="4" max="4" width="16" style="252" customWidth="1"/>
    <col min="5" max="5" width="12.85546875" style="252" customWidth="1"/>
    <col min="6" max="8" width="15.85546875" style="252" customWidth="1"/>
    <col min="9" max="9" width="9.140625" style="252"/>
    <col min="10" max="10" width="15.85546875" style="252" customWidth="1"/>
    <col min="11" max="11" width="13" style="252" customWidth="1"/>
    <col min="12" max="14" width="11.28515625" style="252" customWidth="1"/>
    <col min="15" max="16384" width="9.140625" style="252"/>
  </cols>
  <sheetData>
    <row r="1" spans="1:14" x14ac:dyDescent="0.25">
      <c r="A1" s="510" t="str">
        <f>'Key Figures'!A1</f>
        <v>LATVENERGO KONCERNA KONSOLIDĒTIE un</v>
      </c>
      <c r="B1" s="510" t="str">
        <f>'Key Figures'!B1</f>
        <v>LATVENERGO GROUP CONSOLIDATED and</v>
      </c>
      <c r="C1" s="510"/>
    </row>
    <row r="2" spans="1:14" x14ac:dyDescent="0.25">
      <c r="A2" s="510" t="str">
        <f>'Key Figures'!A2</f>
        <v>AS „LATVENERGO” 2017. GADA FINANŠU PĀRSKATI</v>
      </c>
      <c r="B2" s="510" t="str">
        <f>'Key Figures'!B2</f>
        <v>LATVENERGO AS FINANCIAL STATEMENTS 2017</v>
      </c>
      <c r="C2" s="510"/>
    </row>
    <row r="3" spans="1:14" s="512" customFormat="1" ht="31.5" x14ac:dyDescent="0.25">
      <c r="A3" s="538" t="s">
        <v>981</v>
      </c>
      <c r="B3" s="538" t="s">
        <v>623</v>
      </c>
      <c r="C3" s="28"/>
    </row>
    <row r="4" spans="1:14" s="512" customFormat="1" ht="15.75" x14ac:dyDescent="0.25">
      <c r="A4" s="511"/>
      <c r="B4" s="511"/>
      <c r="C4" s="511"/>
    </row>
    <row r="5" spans="1:14" ht="15.75" thickBot="1" x14ac:dyDescent="0.25">
      <c r="A5" s="539" t="s">
        <v>558</v>
      </c>
      <c r="B5" s="539" t="s">
        <v>559</v>
      </c>
      <c r="C5" s="540"/>
      <c r="L5" s="1208" t="s">
        <v>1</v>
      </c>
      <c r="N5" s="590"/>
    </row>
    <row r="6" spans="1:14" ht="15.75" thickBot="1" x14ac:dyDescent="0.3">
      <c r="A6" s="579"/>
      <c r="B6" s="579"/>
      <c r="C6" s="578"/>
      <c r="D6" s="1581" t="s">
        <v>949</v>
      </c>
      <c r="E6" s="1581"/>
      <c r="F6" s="1581"/>
      <c r="G6" s="1581"/>
      <c r="H6" s="1581"/>
      <c r="J6" s="1581" t="s">
        <v>1403</v>
      </c>
      <c r="K6" s="1581"/>
      <c r="L6" s="1581"/>
    </row>
    <row r="7" spans="1:14" ht="34.5" thickBot="1" x14ac:dyDescent="0.25">
      <c r="A7" s="1502"/>
      <c r="B7" s="1502"/>
      <c r="C7" s="1231" t="s">
        <v>0</v>
      </c>
      <c r="D7" s="542" t="s">
        <v>153</v>
      </c>
      <c r="E7" s="542" t="s">
        <v>31</v>
      </c>
      <c r="F7" s="542" t="s">
        <v>154</v>
      </c>
      <c r="G7" s="1256" t="s">
        <v>32</v>
      </c>
      <c r="H7" s="1256" t="s">
        <v>50</v>
      </c>
      <c r="J7" s="542" t="s">
        <v>153</v>
      </c>
      <c r="K7" s="542" t="s">
        <v>31</v>
      </c>
      <c r="L7" s="1256" t="s">
        <v>50</v>
      </c>
    </row>
    <row r="8" spans="1:14" ht="34.5" outlineLevel="1" thickBot="1" x14ac:dyDescent="0.25">
      <c r="A8" s="1502"/>
      <c r="B8" s="1502"/>
      <c r="C8" s="1231" t="s">
        <v>910</v>
      </c>
      <c r="D8" s="541" t="s">
        <v>909</v>
      </c>
      <c r="E8" s="1255" t="s">
        <v>218</v>
      </c>
      <c r="F8" s="1255" t="s">
        <v>525</v>
      </c>
      <c r="G8" s="1255" t="s">
        <v>219</v>
      </c>
      <c r="H8" s="1255" t="s">
        <v>277</v>
      </c>
      <c r="J8" s="541" t="s">
        <v>909</v>
      </c>
      <c r="K8" s="1255" t="s">
        <v>218</v>
      </c>
      <c r="L8" s="1255" t="s">
        <v>277</v>
      </c>
    </row>
    <row r="9" spans="1:14" x14ac:dyDescent="0.25">
      <c r="A9" s="105"/>
      <c r="B9" s="105"/>
      <c r="C9" s="105"/>
      <c r="D9" s="99"/>
      <c r="E9" s="99"/>
      <c r="F9" s="99"/>
      <c r="G9" s="99"/>
      <c r="H9" s="105"/>
      <c r="J9" s="99"/>
      <c r="K9" s="99"/>
      <c r="L9" s="105"/>
    </row>
    <row r="10" spans="1:14" ht="15.75" thickBot="1" x14ac:dyDescent="0.3">
      <c r="A10" s="105"/>
      <c r="B10" s="105"/>
      <c r="C10" s="105"/>
      <c r="D10" s="99"/>
      <c r="E10" s="99"/>
      <c r="F10" s="99"/>
      <c r="G10" s="99"/>
      <c r="H10" s="105"/>
      <c r="J10" s="99"/>
      <c r="K10" s="99"/>
      <c r="L10" s="105"/>
    </row>
    <row r="11" spans="1:14" x14ac:dyDescent="0.2">
      <c r="A11" s="921" t="s">
        <v>733</v>
      </c>
      <c r="B11" s="921" t="s">
        <v>799</v>
      </c>
      <c r="C11" s="1038"/>
      <c r="D11" s="971">
        <v>681742</v>
      </c>
      <c r="E11" s="1037">
        <v>-12256</v>
      </c>
      <c r="F11" s="971">
        <v>97</v>
      </c>
      <c r="G11" s="971">
        <v>13</v>
      </c>
      <c r="H11" s="971">
        <v>669596</v>
      </c>
      <c r="J11" s="878">
        <v>662035</v>
      </c>
      <c r="K11" s="899">
        <v>-12256</v>
      </c>
      <c r="L11" s="878">
        <v>649779</v>
      </c>
    </row>
    <row r="12" spans="1:14" x14ac:dyDescent="0.25">
      <c r="A12" s="312"/>
      <c r="B12" s="312"/>
      <c r="C12" s="543"/>
      <c r="D12" s="499"/>
      <c r="E12" s="499"/>
      <c r="F12" s="499"/>
      <c r="G12" s="499"/>
      <c r="H12" s="499"/>
      <c r="J12" s="499"/>
      <c r="K12" s="499"/>
      <c r="L12" s="499"/>
    </row>
    <row r="13" spans="1:14" ht="22.5" x14ac:dyDescent="0.2">
      <c r="A13" s="312" t="s">
        <v>738</v>
      </c>
      <c r="B13" s="312" t="s">
        <v>739</v>
      </c>
      <c r="C13" s="544" t="s">
        <v>713</v>
      </c>
      <c r="D13" s="545">
        <v>317041</v>
      </c>
      <c r="E13" s="545" t="s">
        <v>572</v>
      </c>
      <c r="F13" s="545" t="s">
        <v>572</v>
      </c>
      <c r="G13" s="545" t="s">
        <v>572</v>
      </c>
      <c r="H13" s="546">
        <v>317041</v>
      </c>
      <c r="J13" s="545" t="s">
        <v>572</v>
      </c>
      <c r="K13" s="545" t="s">
        <v>572</v>
      </c>
      <c r="L13" s="1123" t="s">
        <v>572</v>
      </c>
    </row>
    <row r="14" spans="1:14" ht="22.5" x14ac:dyDescent="0.2">
      <c r="A14" s="248" t="s">
        <v>853</v>
      </c>
      <c r="B14" s="248" t="s">
        <v>911</v>
      </c>
      <c r="C14" s="547"/>
      <c r="D14" s="283">
        <v>-4854</v>
      </c>
      <c r="E14" s="302" t="s">
        <v>572</v>
      </c>
      <c r="F14" s="302" t="s">
        <v>572</v>
      </c>
      <c r="G14" s="302" t="s">
        <v>572</v>
      </c>
      <c r="H14" s="546">
        <v>-4854</v>
      </c>
      <c r="J14" s="283">
        <v>-2606</v>
      </c>
      <c r="K14" s="545" t="s">
        <v>572</v>
      </c>
      <c r="L14" s="280">
        <v>-2606</v>
      </c>
    </row>
    <row r="15" spans="1:14" x14ac:dyDescent="0.2">
      <c r="A15" s="248" t="s">
        <v>498</v>
      </c>
      <c r="B15" s="248" t="s">
        <v>617</v>
      </c>
      <c r="C15" s="547">
        <v>12</v>
      </c>
      <c r="D15" s="282">
        <v>-47556</v>
      </c>
      <c r="E15" s="250" t="s">
        <v>572</v>
      </c>
      <c r="F15" s="250" t="s">
        <v>572</v>
      </c>
      <c r="G15" s="250" t="s">
        <v>572</v>
      </c>
      <c r="H15" s="404">
        <v>-47556</v>
      </c>
      <c r="J15" s="545" t="s">
        <v>572</v>
      </c>
      <c r="K15" s="545" t="s">
        <v>572</v>
      </c>
      <c r="L15" s="404" t="s">
        <v>572</v>
      </c>
    </row>
    <row r="16" spans="1:14" ht="23.25" thickBot="1" x14ac:dyDescent="0.25">
      <c r="A16" s="253" t="s">
        <v>499</v>
      </c>
      <c r="B16" s="641" t="s">
        <v>500</v>
      </c>
      <c r="C16" s="1032" t="s">
        <v>622</v>
      </c>
      <c r="D16" s="967" t="s">
        <v>572</v>
      </c>
      <c r="E16" s="233">
        <v>2847</v>
      </c>
      <c r="F16" s="738" t="s">
        <v>572</v>
      </c>
      <c r="G16" s="967" t="s">
        <v>572</v>
      </c>
      <c r="H16" s="1033">
        <v>2847</v>
      </c>
      <c r="J16" s="545" t="s">
        <v>572</v>
      </c>
      <c r="K16" s="233">
        <v>2847</v>
      </c>
      <c r="L16" s="1033">
        <v>2847</v>
      </c>
    </row>
    <row r="17" spans="1:12" x14ac:dyDescent="0.2">
      <c r="A17" s="921" t="s">
        <v>816</v>
      </c>
      <c r="B17" s="921" t="s">
        <v>801</v>
      </c>
      <c r="C17" s="1038"/>
      <c r="D17" s="971">
        <v>946373</v>
      </c>
      <c r="E17" s="1037">
        <v>-9409</v>
      </c>
      <c r="F17" s="971">
        <v>97</v>
      </c>
      <c r="G17" s="971">
        <v>13</v>
      </c>
      <c r="H17" s="971">
        <v>937074</v>
      </c>
      <c r="J17" s="971">
        <v>659429</v>
      </c>
      <c r="K17" s="1037">
        <v>-9409</v>
      </c>
      <c r="L17" s="971">
        <v>650020</v>
      </c>
    </row>
    <row r="18" spans="1:12" x14ac:dyDescent="0.25">
      <c r="A18" s="312"/>
      <c r="B18" s="312"/>
      <c r="C18" s="543"/>
      <c r="D18" s="499"/>
      <c r="E18" s="499"/>
      <c r="F18" s="499"/>
      <c r="G18" s="499"/>
      <c r="H18" s="499"/>
      <c r="J18" s="499"/>
      <c r="K18" s="499"/>
      <c r="L18" s="499"/>
    </row>
    <row r="19" spans="1:12" ht="22.5" x14ac:dyDescent="0.2">
      <c r="A19" s="312" t="s">
        <v>738</v>
      </c>
      <c r="B19" s="757" t="s">
        <v>739</v>
      </c>
      <c r="C19" s="1160" t="s">
        <v>713</v>
      </c>
      <c r="D19" s="1152">
        <v>22167</v>
      </c>
      <c r="E19" s="1152" t="s">
        <v>572</v>
      </c>
      <c r="F19" s="1152" t="s">
        <v>572</v>
      </c>
      <c r="G19" s="1152" t="s">
        <v>572</v>
      </c>
      <c r="H19" s="1153">
        <v>22167</v>
      </c>
      <c r="I19" s="1161"/>
      <c r="J19" s="1152">
        <v>22167</v>
      </c>
      <c r="K19" s="1152" t="s">
        <v>572</v>
      </c>
      <c r="L19" s="1153">
        <v>22167</v>
      </c>
    </row>
    <row r="20" spans="1:12" ht="22.5" x14ac:dyDescent="0.2">
      <c r="A20" s="1156" t="s">
        <v>853</v>
      </c>
      <c r="B20" s="1156" t="s">
        <v>911</v>
      </c>
      <c r="C20" s="1157"/>
      <c r="D20" s="1151">
        <v>-4377</v>
      </c>
      <c r="E20" s="1152" t="s">
        <v>572</v>
      </c>
      <c r="F20" s="1152" t="s">
        <v>572</v>
      </c>
      <c r="G20" s="1152" t="s">
        <v>572</v>
      </c>
      <c r="H20" s="1153">
        <v>-4377</v>
      </c>
      <c r="I20" s="1161"/>
      <c r="J20" s="1151">
        <v>-1762</v>
      </c>
      <c r="K20" s="1152" t="s">
        <v>572</v>
      </c>
      <c r="L20" s="1153">
        <v>-1762</v>
      </c>
    </row>
    <row r="21" spans="1:12" x14ac:dyDescent="0.2">
      <c r="A21" s="1156" t="s">
        <v>498</v>
      </c>
      <c r="B21" s="1156" t="s">
        <v>617</v>
      </c>
      <c r="C21" s="1157">
        <v>12</v>
      </c>
      <c r="D21" s="1151">
        <v>-3325</v>
      </c>
      <c r="E21" s="1152" t="s">
        <v>572</v>
      </c>
      <c r="F21" s="1152" t="s">
        <v>572</v>
      </c>
      <c r="G21" s="1152" t="s">
        <v>572</v>
      </c>
      <c r="H21" s="1153">
        <v>-3325</v>
      </c>
      <c r="I21" s="1161"/>
      <c r="J21" s="1154">
        <v>-3325</v>
      </c>
      <c r="K21" s="1152" t="s">
        <v>572</v>
      </c>
      <c r="L21" s="1153">
        <v>-3325</v>
      </c>
    </row>
    <row r="22" spans="1:12" x14ac:dyDescent="0.2">
      <c r="A22" s="1156" t="s">
        <v>1113</v>
      </c>
      <c r="B22" s="1156" t="s">
        <v>1368</v>
      </c>
      <c r="C22" s="1157">
        <v>12</v>
      </c>
      <c r="D22" s="653">
        <v>169560</v>
      </c>
      <c r="E22" s="1152" t="s">
        <v>572</v>
      </c>
      <c r="F22" s="1152" t="s">
        <v>572</v>
      </c>
      <c r="G22" s="1152" t="s">
        <v>572</v>
      </c>
      <c r="H22" s="1153">
        <v>169560</v>
      </c>
      <c r="I22" s="1161"/>
      <c r="J22" s="1152">
        <v>119384</v>
      </c>
      <c r="K22" s="1152" t="s">
        <v>572</v>
      </c>
      <c r="L22" s="1153">
        <v>119384</v>
      </c>
    </row>
    <row r="23" spans="1:12" ht="23.25" thickBot="1" x14ac:dyDescent="0.25">
      <c r="A23" s="253" t="s">
        <v>499</v>
      </c>
      <c r="B23" s="1162" t="s">
        <v>500</v>
      </c>
      <c r="C23" s="1163" t="s">
        <v>622</v>
      </c>
      <c r="D23" s="1152" t="s">
        <v>572</v>
      </c>
      <c r="E23" s="1155">
        <v>5422</v>
      </c>
      <c r="F23" s="1152" t="s">
        <v>572</v>
      </c>
      <c r="G23" s="1152" t="s">
        <v>572</v>
      </c>
      <c r="H23" s="1153">
        <v>5422</v>
      </c>
      <c r="I23" s="1161"/>
      <c r="J23" s="1152" t="s">
        <v>572</v>
      </c>
      <c r="K23" s="1155">
        <v>5422</v>
      </c>
      <c r="L23" s="1153">
        <v>5422</v>
      </c>
    </row>
    <row r="24" spans="1:12" ht="15.75" thickBot="1" x14ac:dyDescent="0.25">
      <c r="A24" s="1035" t="s">
        <v>985</v>
      </c>
      <c r="B24" s="1035" t="s">
        <v>956</v>
      </c>
      <c r="C24" s="1036"/>
      <c r="D24" s="1034">
        <v>1130398</v>
      </c>
      <c r="E24" s="1097">
        <v>-3987</v>
      </c>
      <c r="F24" s="1034">
        <v>97</v>
      </c>
      <c r="G24" s="1034">
        <v>13</v>
      </c>
      <c r="H24" s="1034">
        <v>1126521</v>
      </c>
      <c r="J24" s="1034">
        <v>795893</v>
      </c>
      <c r="K24" s="1097">
        <v>-3987</v>
      </c>
      <c r="L24" s="1034">
        <v>791906</v>
      </c>
    </row>
    <row r="25" spans="1:12" ht="17.25" customHeight="1" x14ac:dyDescent="0.25">
      <c r="A25" s="548"/>
      <c r="B25" s="548"/>
      <c r="C25" s="548"/>
    </row>
    <row r="26" spans="1:12" ht="15.75" thickBot="1" x14ac:dyDescent="0.25">
      <c r="A26" s="539" t="s">
        <v>564</v>
      </c>
      <c r="B26" s="539" t="s">
        <v>565</v>
      </c>
      <c r="C26" s="28"/>
      <c r="G26" s="1208"/>
    </row>
    <row r="27" spans="1:12" ht="15.75" thickBot="1" x14ac:dyDescent="0.3">
      <c r="A27" s="579"/>
      <c r="B27" s="579"/>
      <c r="C27" s="1581" t="s">
        <v>949</v>
      </c>
      <c r="D27" s="1581"/>
      <c r="E27" s="502"/>
      <c r="F27" s="1581" t="s">
        <v>1403</v>
      </c>
      <c r="G27" s="1581"/>
    </row>
    <row r="28" spans="1:12" ht="15.75" thickBot="1" x14ac:dyDescent="0.3">
      <c r="A28" s="580"/>
      <c r="B28" s="580"/>
      <c r="C28" s="1271">
        <v>2017</v>
      </c>
      <c r="D28" s="1272">
        <v>2016</v>
      </c>
      <c r="E28" s="530"/>
      <c r="F28" s="1271">
        <f>C28</f>
        <v>2017</v>
      </c>
      <c r="G28" s="1272">
        <f>D28</f>
        <v>2016</v>
      </c>
    </row>
    <row r="29" spans="1:12" x14ac:dyDescent="0.25">
      <c r="A29" s="549"/>
      <c r="B29" s="549"/>
      <c r="C29" s="789"/>
      <c r="D29" s="289"/>
      <c r="E29" s="502"/>
      <c r="F29" s="789"/>
      <c r="G29" s="289"/>
    </row>
    <row r="30" spans="1:12" ht="22.5" x14ac:dyDescent="0.2">
      <c r="A30" s="191" t="s">
        <v>913</v>
      </c>
      <c r="B30" s="191" t="s">
        <v>912</v>
      </c>
      <c r="C30" s="955">
        <v>319670</v>
      </c>
      <c r="D30" s="418">
        <v>129045</v>
      </c>
      <c r="E30" s="502"/>
      <c r="F30" s="955">
        <v>150891</v>
      </c>
      <c r="G30" s="418">
        <v>137441</v>
      </c>
    </row>
    <row r="31" spans="1:12" ht="11.25" customHeight="1" x14ac:dyDescent="0.25">
      <c r="A31" s="182" t="s">
        <v>567</v>
      </c>
      <c r="B31" s="182" t="s">
        <v>566</v>
      </c>
      <c r="C31" s="867">
        <v>1288715</v>
      </c>
      <c r="D31" s="229">
        <v>1288623</v>
      </c>
      <c r="E31" s="502"/>
      <c r="F31" s="867" t="s">
        <v>572</v>
      </c>
      <c r="G31" s="229" t="s">
        <v>572</v>
      </c>
    </row>
    <row r="32" spans="1:12" ht="11.25" customHeight="1" x14ac:dyDescent="0.25">
      <c r="A32" s="182" t="s">
        <v>561</v>
      </c>
      <c r="B32" s="182" t="s">
        <v>562</v>
      </c>
      <c r="C32" s="859">
        <v>0.25</v>
      </c>
      <c r="D32" s="193">
        <v>0.1</v>
      </c>
      <c r="E32" s="502"/>
      <c r="F32" s="859">
        <v>0.11700000000000001</v>
      </c>
      <c r="G32" s="193">
        <v>0.107</v>
      </c>
    </row>
    <row r="33" spans="1:8" ht="11.25" customHeight="1" thickBot="1" x14ac:dyDescent="0.3">
      <c r="A33" s="194" t="s">
        <v>560</v>
      </c>
      <c r="B33" s="194" t="s">
        <v>563</v>
      </c>
      <c r="C33" s="860">
        <v>0.25</v>
      </c>
      <c r="D33" s="196">
        <v>0.1</v>
      </c>
      <c r="E33" s="502"/>
      <c r="F33" s="860">
        <v>0.11700000000000001</v>
      </c>
      <c r="G33" s="196">
        <v>0.107</v>
      </c>
    </row>
    <row r="34" spans="1:8" x14ac:dyDescent="0.25">
      <c r="A34" s="548"/>
      <c r="B34" s="548"/>
      <c r="C34" s="548"/>
      <c r="D34" s="502"/>
      <c r="E34" s="502"/>
      <c r="F34" s="502"/>
      <c r="G34" s="502"/>
    </row>
    <row r="35" spans="1:8" x14ac:dyDescent="0.25">
      <c r="A35" s="550"/>
      <c r="B35" s="550"/>
      <c r="C35" s="581"/>
      <c r="D35" s="502"/>
      <c r="E35" s="502"/>
      <c r="F35" s="502"/>
      <c r="G35" s="502"/>
    </row>
    <row r="36" spans="1:8" s="512" customFormat="1" ht="15.75" x14ac:dyDescent="0.25">
      <c r="A36" s="511" t="s">
        <v>982</v>
      </c>
      <c r="B36" s="511" t="s">
        <v>313</v>
      </c>
      <c r="C36" s="582"/>
      <c r="D36" s="502"/>
      <c r="E36" s="502"/>
      <c r="F36" s="502"/>
      <c r="G36" s="502"/>
    </row>
    <row r="37" spans="1:8" s="512" customFormat="1" ht="15.75" x14ac:dyDescent="0.25">
      <c r="A37" s="511"/>
      <c r="B37" s="511"/>
      <c r="C37" s="582"/>
      <c r="D37" s="502"/>
      <c r="E37" s="502"/>
      <c r="F37" s="502"/>
      <c r="G37" s="502"/>
    </row>
    <row r="38" spans="1:8" x14ac:dyDescent="0.25">
      <c r="A38" s="539" t="s">
        <v>983</v>
      </c>
      <c r="B38" s="539" t="s">
        <v>984</v>
      </c>
      <c r="C38" s="28"/>
      <c r="D38" s="28"/>
      <c r="E38" s="28"/>
      <c r="F38" s="28"/>
      <c r="G38" s="502"/>
    </row>
    <row r="39" spans="1:8" x14ac:dyDescent="0.25">
      <c r="A39" s="551"/>
      <c r="B39" s="551"/>
      <c r="C39" s="28"/>
      <c r="D39" s="28"/>
      <c r="E39" s="28"/>
      <c r="F39" s="28"/>
      <c r="G39" s="502"/>
    </row>
    <row r="40" spans="1:8" s="530" customFormat="1" ht="26.25" thickBot="1" x14ac:dyDescent="0.25">
      <c r="A40" s="552" t="s">
        <v>915</v>
      </c>
      <c r="B40" s="553" t="s">
        <v>914</v>
      </c>
      <c r="C40" s="583"/>
      <c r="D40" s="502"/>
      <c r="E40" s="502"/>
      <c r="F40" s="502"/>
      <c r="G40" s="1208" t="s">
        <v>1</v>
      </c>
    </row>
    <row r="41" spans="1:8" s="28" customFormat="1" ht="15.75" customHeight="1" thickBot="1" x14ac:dyDescent="0.3">
      <c r="A41" s="364"/>
      <c r="B41" s="364"/>
      <c r="C41" s="1581" t="s">
        <v>949</v>
      </c>
      <c r="D41" s="1581"/>
      <c r="E41" s="107"/>
      <c r="F41" s="1581" t="s">
        <v>1403</v>
      </c>
      <c r="G41" s="1581"/>
    </row>
    <row r="42" spans="1:8" s="28" customFormat="1" ht="15.75" thickBot="1" x14ac:dyDescent="0.3">
      <c r="A42" s="366"/>
      <c r="B42" s="312"/>
      <c r="C42" s="1273" t="s">
        <v>957</v>
      </c>
      <c r="D42" s="1274" t="s">
        <v>819</v>
      </c>
      <c r="E42" s="1218"/>
      <c r="F42" s="1273" t="s">
        <v>957</v>
      </c>
      <c r="G42" s="1274" t="s">
        <v>819</v>
      </c>
      <c r="H42" s="94"/>
    </row>
    <row r="43" spans="1:8" s="502" customFormat="1" ht="11.25" x14ac:dyDescent="0.25">
      <c r="A43" s="289"/>
      <c r="B43" s="289"/>
      <c r="C43" s="789"/>
      <c r="D43" s="289"/>
      <c r="F43" s="789"/>
      <c r="G43" s="289"/>
    </row>
    <row r="44" spans="1:8" s="502" customFormat="1" ht="11.25" x14ac:dyDescent="0.25">
      <c r="A44" s="178" t="s">
        <v>155</v>
      </c>
      <c r="B44" s="312" t="s">
        <v>615</v>
      </c>
      <c r="C44" s="861"/>
      <c r="D44" s="99"/>
      <c r="F44" s="861"/>
      <c r="G44" s="99"/>
    </row>
    <row r="45" spans="1:8" s="502" customFormat="1" ht="11.25" x14ac:dyDescent="0.25">
      <c r="A45" s="248" t="s">
        <v>613</v>
      </c>
      <c r="B45" s="248" t="s">
        <v>612</v>
      </c>
      <c r="C45" s="839" t="s">
        <v>572</v>
      </c>
      <c r="D45" s="184">
        <v>3520</v>
      </c>
      <c r="F45" s="839" t="s">
        <v>572</v>
      </c>
      <c r="G45" s="184">
        <v>3520</v>
      </c>
    </row>
    <row r="46" spans="1:8" s="502" customFormat="1" ht="11.25" x14ac:dyDescent="0.25">
      <c r="A46" s="248" t="s">
        <v>614</v>
      </c>
      <c r="B46" s="248" t="s">
        <v>621</v>
      </c>
      <c r="C46" s="867">
        <v>16984.373150000007</v>
      </c>
      <c r="D46" s="229">
        <v>17034</v>
      </c>
      <c r="F46" s="867">
        <v>16984.373150000007</v>
      </c>
      <c r="G46" s="229">
        <v>17034</v>
      </c>
    </row>
    <row r="47" spans="1:8" s="502" customFormat="1" ht="12" thickBot="1" x14ac:dyDescent="0.3">
      <c r="A47" s="536" t="s">
        <v>156</v>
      </c>
      <c r="B47" s="536" t="s">
        <v>916</v>
      </c>
      <c r="C47" s="958">
        <v>16984.373150000007</v>
      </c>
      <c r="D47" s="410">
        <v>20554</v>
      </c>
      <c r="F47" s="958">
        <v>16984.373150000007</v>
      </c>
      <c r="G47" s="410">
        <v>20554</v>
      </c>
    </row>
    <row r="48" spans="1:8" s="502" customFormat="1" ht="11.25" x14ac:dyDescent="0.25">
      <c r="A48" s="498"/>
      <c r="B48" s="498"/>
      <c r="C48" s="101"/>
      <c r="D48" s="101"/>
    </row>
    <row r="49" spans="1:8" s="502" customFormat="1" ht="11.25" x14ac:dyDescent="0.25">
      <c r="A49" s="498"/>
      <c r="B49" s="498"/>
      <c r="C49" s="101"/>
      <c r="D49" s="101"/>
    </row>
    <row r="50" spans="1:8" s="502" customFormat="1" ht="11.25" x14ac:dyDescent="0.25">
      <c r="A50" s="498"/>
      <c r="B50" s="498"/>
      <c r="C50" s="101"/>
      <c r="D50" s="101"/>
    </row>
    <row r="51" spans="1:8" s="502" customFormat="1" ht="11.25" x14ac:dyDescent="0.25">
      <c r="A51" s="554"/>
      <c r="B51" s="554"/>
    </row>
    <row r="52" spans="1:8" ht="15.75" thickBot="1" x14ac:dyDescent="0.25">
      <c r="A52" s="539" t="s">
        <v>501</v>
      </c>
      <c r="B52" s="539" t="s">
        <v>502</v>
      </c>
      <c r="G52" s="1208" t="s">
        <v>1</v>
      </c>
    </row>
    <row r="53" spans="1:8" s="28" customFormat="1" ht="15.75" customHeight="1" thickBot="1" x14ac:dyDescent="0.3">
      <c r="A53" s="364"/>
      <c r="B53" s="364"/>
      <c r="C53" s="1581" t="s">
        <v>949</v>
      </c>
      <c r="D53" s="1581"/>
      <c r="E53" s="107"/>
      <c r="F53" s="1581" t="s">
        <v>1403</v>
      </c>
      <c r="G53" s="1581"/>
    </row>
    <row r="54" spans="1:8" s="28" customFormat="1" ht="15.75" thickBot="1" x14ac:dyDescent="0.3">
      <c r="A54" s="366"/>
      <c r="B54" s="312"/>
      <c r="C54" s="1273" t="s">
        <v>957</v>
      </c>
      <c r="D54" s="1274" t="s">
        <v>819</v>
      </c>
      <c r="E54" s="1218"/>
      <c r="F54" s="1273" t="s">
        <v>957</v>
      </c>
      <c r="G54" s="1274" t="s">
        <v>819</v>
      </c>
      <c r="H54" s="94"/>
    </row>
    <row r="55" spans="1:8" s="502" customFormat="1" ht="11.25" x14ac:dyDescent="0.25">
      <c r="A55" s="181"/>
      <c r="B55" s="181"/>
      <c r="C55" s="853"/>
      <c r="D55" s="181"/>
      <c r="F55" s="853"/>
      <c r="G55" s="181"/>
    </row>
    <row r="56" spans="1:8" s="502" customFormat="1" ht="11.25" x14ac:dyDescent="0.25">
      <c r="A56" s="178" t="s">
        <v>157</v>
      </c>
      <c r="B56" s="312" t="s">
        <v>616</v>
      </c>
      <c r="C56" s="867">
        <v>583313</v>
      </c>
      <c r="D56" s="229">
        <v>500215</v>
      </c>
      <c r="F56" s="867">
        <v>574764</v>
      </c>
      <c r="G56" s="229">
        <v>492286</v>
      </c>
    </row>
    <row r="57" spans="1:8" s="502" customFormat="1" ht="12" thickBot="1" x14ac:dyDescent="0.3">
      <c r="A57" s="253" t="s">
        <v>55</v>
      </c>
      <c r="B57" s="253" t="s">
        <v>314</v>
      </c>
      <c r="C57" s="857">
        <v>135361</v>
      </c>
      <c r="D57" s="397">
        <v>135405</v>
      </c>
      <c r="F57" s="867">
        <v>135361</v>
      </c>
      <c r="G57" s="229">
        <v>135405</v>
      </c>
    </row>
    <row r="58" spans="1:8" s="502" customFormat="1" ht="11.25" x14ac:dyDescent="0.25">
      <c r="A58" s="259" t="s">
        <v>158</v>
      </c>
      <c r="B58" s="259" t="s">
        <v>917</v>
      </c>
      <c r="C58" s="687">
        <v>718674</v>
      </c>
      <c r="D58" s="205">
        <v>635620</v>
      </c>
      <c r="F58" s="687">
        <v>710125</v>
      </c>
      <c r="G58" s="205">
        <v>627691</v>
      </c>
    </row>
    <row r="59" spans="1:8" s="502" customFormat="1" ht="12" customHeight="1" x14ac:dyDescent="0.25">
      <c r="A59" s="248" t="s">
        <v>1574</v>
      </c>
      <c r="B59" s="248" t="s">
        <v>1577</v>
      </c>
      <c r="C59" s="867">
        <v>105931</v>
      </c>
      <c r="D59" s="229">
        <v>82762</v>
      </c>
      <c r="F59" s="867">
        <v>102522</v>
      </c>
      <c r="G59" s="229">
        <v>78222</v>
      </c>
    </row>
    <row r="60" spans="1:8" s="502" customFormat="1" ht="11.25" x14ac:dyDescent="0.25">
      <c r="A60" s="248" t="s">
        <v>832</v>
      </c>
      <c r="B60" s="248" t="s">
        <v>831</v>
      </c>
      <c r="C60" s="839" t="s">
        <v>572</v>
      </c>
      <c r="D60" s="184">
        <v>70075</v>
      </c>
      <c r="F60" s="839" t="s">
        <v>572</v>
      </c>
      <c r="G60" s="184">
        <v>70075</v>
      </c>
    </row>
    <row r="61" spans="1:8" s="502" customFormat="1" ht="11.25" x14ac:dyDescent="0.25">
      <c r="A61" s="248" t="s">
        <v>736</v>
      </c>
      <c r="B61" s="248" t="s">
        <v>833</v>
      </c>
      <c r="C61" s="839" t="s">
        <v>572</v>
      </c>
      <c r="D61" s="184">
        <v>744</v>
      </c>
      <c r="F61" s="839" t="s">
        <v>572</v>
      </c>
      <c r="G61" s="184" t="s">
        <v>572</v>
      </c>
    </row>
    <row r="62" spans="1:8" s="502" customFormat="1" ht="11.25" x14ac:dyDescent="0.25">
      <c r="A62" s="312" t="s">
        <v>159</v>
      </c>
      <c r="B62" s="178" t="s">
        <v>611</v>
      </c>
      <c r="C62" s="867">
        <v>468</v>
      </c>
      <c r="D62" s="229">
        <v>594</v>
      </c>
      <c r="F62" s="867">
        <v>441</v>
      </c>
      <c r="G62" s="229">
        <v>564</v>
      </c>
    </row>
    <row r="63" spans="1:8" s="502" customFormat="1" ht="23.25" thickBot="1" x14ac:dyDescent="0.25">
      <c r="A63" s="253" t="s">
        <v>399</v>
      </c>
      <c r="B63" s="641" t="s">
        <v>400</v>
      </c>
      <c r="C63" s="865">
        <v>1684</v>
      </c>
      <c r="D63" s="233">
        <v>1771</v>
      </c>
      <c r="F63" s="955">
        <v>1684</v>
      </c>
      <c r="G63" s="418">
        <v>1771</v>
      </c>
    </row>
    <row r="64" spans="1:8" s="502" customFormat="1" ht="12" thickBot="1" x14ac:dyDescent="0.3">
      <c r="A64" s="273" t="s">
        <v>160</v>
      </c>
      <c r="B64" s="273" t="s">
        <v>918</v>
      </c>
      <c r="C64" s="784">
        <v>108083</v>
      </c>
      <c r="D64" s="328">
        <v>155946</v>
      </c>
      <c r="F64" s="784">
        <v>104647</v>
      </c>
      <c r="G64" s="328">
        <v>150632</v>
      </c>
    </row>
    <row r="65" spans="1:7" s="502" customFormat="1" ht="12" thickBot="1" x14ac:dyDescent="0.3">
      <c r="A65" s="273" t="s">
        <v>161</v>
      </c>
      <c r="B65" s="273" t="s">
        <v>919</v>
      </c>
      <c r="C65" s="784">
        <v>826757</v>
      </c>
      <c r="D65" s="328">
        <v>791566</v>
      </c>
      <c r="F65" s="784">
        <v>814772</v>
      </c>
      <c r="G65" s="328">
        <v>778323</v>
      </c>
    </row>
    <row r="66" spans="1:7" x14ac:dyDescent="0.25">
      <c r="A66" s="476"/>
      <c r="B66" s="476"/>
    </row>
    <row r="67" spans="1:7" ht="15.75" thickBot="1" x14ac:dyDescent="0.25">
      <c r="A67" s="492" t="s">
        <v>1575</v>
      </c>
      <c r="B67" s="492" t="s">
        <v>1576</v>
      </c>
      <c r="G67" s="1208" t="s">
        <v>1</v>
      </c>
    </row>
    <row r="68" spans="1:7" ht="15.75" thickBot="1" x14ac:dyDescent="0.3">
      <c r="A68" s="579"/>
      <c r="B68" s="579"/>
      <c r="C68" s="1581" t="s">
        <v>949</v>
      </c>
      <c r="D68" s="1581"/>
      <c r="E68" s="502"/>
      <c r="F68" s="1581" t="s">
        <v>1403</v>
      </c>
      <c r="G68" s="1581"/>
    </row>
    <row r="69" spans="1:7" ht="15.75" thickBot="1" x14ac:dyDescent="0.3">
      <c r="A69" s="580"/>
      <c r="B69" s="580"/>
      <c r="C69" s="1271">
        <v>2017</v>
      </c>
      <c r="D69" s="1272">
        <v>2016</v>
      </c>
      <c r="E69" s="530"/>
      <c r="F69" s="1271">
        <f>C69</f>
        <v>2017</v>
      </c>
      <c r="G69" s="1272">
        <f>D69</f>
        <v>2016</v>
      </c>
    </row>
    <row r="70" spans="1:7" s="502" customFormat="1" ht="11.25" x14ac:dyDescent="0.25">
      <c r="A70" s="555"/>
      <c r="B70" s="555"/>
      <c r="C70" s="1039"/>
      <c r="D70" s="556"/>
      <c r="F70" s="1039"/>
      <c r="G70" s="556"/>
    </row>
    <row r="71" spans="1:7" s="502" customFormat="1" ht="11.25" x14ac:dyDescent="0.25">
      <c r="A71" s="270" t="s">
        <v>103</v>
      </c>
      <c r="B71" s="498" t="s">
        <v>315</v>
      </c>
      <c r="C71" s="872">
        <v>791566</v>
      </c>
      <c r="D71" s="499">
        <v>797483</v>
      </c>
      <c r="F71" s="872">
        <v>778323</v>
      </c>
      <c r="G71" s="499">
        <v>782965</v>
      </c>
    </row>
    <row r="72" spans="1:7" s="502" customFormat="1" ht="11.25" x14ac:dyDescent="0.25">
      <c r="A72" s="248" t="s">
        <v>162</v>
      </c>
      <c r="B72" s="248" t="s">
        <v>316</v>
      </c>
      <c r="C72" s="839">
        <v>186500</v>
      </c>
      <c r="D72" s="184">
        <v>55744</v>
      </c>
      <c r="F72" s="839">
        <v>185000</v>
      </c>
      <c r="G72" s="184">
        <v>55000</v>
      </c>
    </row>
    <row r="73" spans="1:7" s="502" customFormat="1" ht="11.25" x14ac:dyDescent="0.25">
      <c r="A73" s="531" t="s">
        <v>57</v>
      </c>
      <c r="B73" s="531" t="s">
        <v>317</v>
      </c>
      <c r="C73" s="867">
        <v>-80976</v>
      </c>
      <c r="D73" s="229">
        <v>-87452</v>
      </c>
      <c r="F73" s="867">
        <v>-78221</v>
      </c>
      <c r="G73" s="229">
        <v>-85441</v>
      </c>
    </row>
    <row r="74" spans="1:7" s="502" customFormat="1" ht="11.25" x14ac:dyDescent="0.25">
      <c r="A74" s="248" t="s">
        <v>163</v>
      </c>
      <c r="B74" s="248" t="s">
        <v>318</v>
      </c>
      <c r="C74" s="867">
        <v>-126</v>
      </c>
      <c r="D74" s="229">
        <v>15</v>
      </c>
      <c r="F74" s="867">
        <v>-123</v>
      </c>
      <c r="G74" s="229">
        <v>23</v>
      </c>
    </row>
    <row r="75" spans="1:7" s="502" customFormat="1" ht="11.25" x14ac:dyDescent="0.25">
      <c r="A75" s="248" t="s">
        <v>55</v>
      </c>
      <c r="B75" s="248" t="s">
        <v>314</v>
      </c>
      <c r="C75" s="780" t="s">
        <v>572</v>
      </c>
      <c r="D75" s="190">
        <v>25776</v>
      </c>
      <c r="F75" s="780" t="s">
        <v>572</v>
      </c>
      <c r="G75" s="190">
        <v>25776</v>
      </c>
    </row>
    <row r="76" spans="1:7" s="502" customFormat="1" ht="11.25" x14ac:dyDescent="0.25">
      <c r="A76" s="253" t="s">
        <v>994</v>
      </c>
      <c r="B76" s="253" t="s">
        <v>995</v>
      </c>
      <c r="C76" s="867">
        <v>-70000</v>
      </c>
      <c r="D76" s="226" t="s">
        <v>572</v>
      </c>
      <c r="F76" s="867">
        <v>-70000</v>
      </c>
      <c r="G76" s="226" t="s">
        <v>572</v>
      </c>
    </row>
    <row r="77" spans="1:7" s="502" customFormat="1" ht="12" thickBot="1" x14ac:dyDescent="0.3">
      <c r="A77" s="253" t="s">
        <v>996</v>
      </c>
      <c r="B77" s="253" t="s">
        <v>997</v>
      </c>
      <c r="C77" s="857">
        <v>-207</v>
      </c>
      <c r="D77" s="226" t="s">
        <v>572</v>
      </c>
      <c r="F77" s="867">
        <v>-207</v>
      </c>
      <c r="G77" s="226" t="s">
        <v>572</v>
      </c>
    </row>
    <row r="78" spans="1:7" s="502" customFormat="1" ht="12" thickBot="1" x14ac:dyDescent="0.3">
      <c r="A78" s="273" t="s">
        <v>105</v>
      </c>
      <c r="B78" s="273" t="s">
        <v>273</v>
      </c>
      <c r="C78" s="884">
        <v>826757</v>
      </c>
      <c r="D78" s="272">
        <v>791566</v>
      </c>
      <c r="F78" s="884">
        <v>814772</v>
      </c>
      <c r="G78" s="272">
        <v>778323</v>
      </c>
    </row>
    <row r="79" spans="1:7" x14ac:dyDescent="0.25">
      <c r="A79" s="476"/>
      <c r="B79" s="476"/>
    </row>
    <row r="80" spans="1:7" ht="15.75" thickBot="1" x14ac:dyDescent="0.25">
      <c r="A80" s="492" t="s">
        <v>1578</v>
      </c>
      <c r="B80" s="492" t="s">
        <v>1579</v>
      </c>
      <c r="G80" s="1208" t="s">
        <v>1</v>
      </c>
    </row>
    <row r="81" spans="1:8" s="28" customFormat="1" ht="15.75" customHeight="1" thickBot="1" x14ac:dyDescent="0.3">
      <c r="A81" s="364"/>
      <c r="B81" s="364"/>
      <c r="C81" s="1581" t="s">
        <v>949</v>
      </c>
      <c r="D81" s="1581"/>
      <c r="E81" s="107"/>
      <c r="F81" s="1581" t="s">
        <v>1403</v>
      </c>
      <c r="G81" s="1581"/>
    </row>
    <row r="82" spans="1:8" s="28" customFormat="1" ht="15.75" thickBot="1" x14ac:dyDescent="0.3">
      <c r="A82" s="366"/>
      <c r="B82" s="312"/>
      <c r="C82" s="1273" t="s">
        <v>957</v>
      </c>
      <c r="D82" s="1274" t="s">
        <v>819</v>
      </c>
      <c r="E82" s="1218"/>
      <c r="F82" s="1273" t="s">
        <v>957</v>
      </c>
      <c r="G82" s="1274" t="s">
        <v>819</v>
      </c>
      <c r="H82" s="94"/>
    </row>
    <row r="83" spans="1:8" s="502" customFormat="1" ht="11.25" x14ac:dyDescent="0.25">
      <c r="A83" s="181"/>
      <c r="B83" s="181"/>
      <c r="C83" s="853"/>
      <c r="D83" s="181"/>
      <c r="F83" s="853"/>
      <c r="G83" s="181"/>
    </row>
    <row r="84" spans="1:8" s="502" customFormat="1" ht="11.25" x14ac:dyDescent="0.25">
      <c r="A84" s="178" t="s">
        <v>164</v>
      </c>
      <c r="B84" s="312" t="s">
        <v>319</v>
      </c>
      <c r="C84" s="858">
        <v>426102</v>
      </c>
      <c r="D84" s="96">
        <v>394917</v>
      </c>
      <c r="F84" s="858">
        <v>426102</v>
      </c>
      <c r="G84" s="96">
        <v>394917</v>
      </c>
    </row>
    <row r="85" spans="1:8" s="502" customFormat="1" ht="11.25" x14ac:dyDescent="0.25">
      <c r="A85" s="248" t="s">
        <v>401</v>
      </c>
      <c r="B85" s="248" t="s">
        <v>402</v>
      </c>
      <c r="C85" s="780">
        <v>263610</v>
      </c>
      <c r="D85" s="190">
        <v>189398</v>
      </c>
      <c r="F85" s="780">
        <v>251625</v>
      </c>
      <c r="G85" s="190">
        <v>176155</v>
      </c>
    </row>
    <row r="86" spans="1:8" s="502" customFormat="1" ht="12" thickBot="1" x14ac:dyDescent="0.3">
      <c r="A86" s="253" t="s">
        <v>55</v>
      </c>
      <c r="B86" s="253" t="s">
        <v>314</v>
      </c>
      <c r="C86" s="874">
        <v>137045</v>
      </c>
      <c r="D86" s="397">
        <v>207251</v>
      </c>
      <c r="F86" s="874">
        <v>137045</v>
      </c>
      <c r="G86" s="397">
        <v>207251</v>
      </c>
    </row>
    <row r="87" spans="1:8" s="502" customFormat="1" ht="12.75" thickBot="1" x14ac:dyDescent="0.3">
      <c r="A87" s="353" t="s">
        <v>173</v>
      </c>
      <c r="B87" s="353" t="s">
        <v>922</v>
      </c>
      <c r="C87" s="784">
        <v>826757</v>
      </c>
      <c r="D87" s="328">
        <v>791566</v>
      </c>
      <c r="F87" s="784">
        <v>814772</v>
      </c>
      <c r="G87" s="328">
        <v>778323</v>
      </c>
    </row>
    <row r="88" spans="1:8" x14ac:dyDescent="0.25">
      <c r="A88" s="557"/>
      <c r="B88" s="557"/>
    </row>
    <row r="89" spans="1:8" ht="24.75" thickBot="1" x14ac:dyDescent="0.25">
      <c r="A89" s="558" t="s">
        <v>1581</v>
      </c>
      <c r="B89" s="558" t="s">
        <v>1580</v>
      </c>
      <c r="G89" s="1208" t="s">
        <v>1</v>
      </c>
    </row>
    <row r="90" spans="1:8" s="28" customFormat="1" ht="15.75" customHeight="1" thickBot="1" x14ac:dyDescent="0.3">
      <c r="A90" s="364"/>
      <c r="B90" s="364"/>
      <c r="C90" s="1581" t="s">
        <v>949</v>
      </c>
      <c r="D90" s="1581"/>
      <c r="E90" s="107"/>
      <c r="F90" s="1581" t="s">
        <v>1403</v>
      </c>
      <c r="G90" s="1581"/>
    </row>
    <row r="91" spans="1:8" s="28" customFormat="1" ht="15.75" thickBot="1" x14ac:dyDescent="0.3">
      <c r="A91" s="366"/>
      <c r="B91" s="312"/>
      <c r="C91" s="1273" t="s">
        <v>957</v>
      </c>
      <c r="D91" s="1274" t="s">
        <v>819</v>
      </c>
      <c r="E91" s="1218"/>
      <c r="F91" s="1273" t="s">
        <v>957</v>
      </c>
      <c r="G91" s="1274" t="s">
        <v>819</v>
      </c>
      <c r="H91" s="94"/>
    </row>
    <row r="92" spans="1:8" s="502" customFormat="1" ht="15" customHeight="1" x14ac:dyDescent="0.25">
      <c r="A92" s="270" t="s">
        <v>526</v>
      </c>
      <c r="B92" s="330" t="s">
        <v>619</v>
      </c>
      <c r="C92" s="861"/>
      <c r="D92" s="99"/>
      <c r="F92" s="861"/>
      <c r="G92" s="99"/>
    </row>
    <row r="93" spans="1:8" s="502" customFormat="1" ht="11.25" x14ac:dyDescent="0.25">
      <c r="A93" s="248" t="s">
        <v>610</v>
      </c>
      <c r="B93" s="248" t="s">
        <v>618</v>
      </c>
      <c r="C93" s="840">
        <v>51733</v>
      </c>
      <c r="D93" s="250">
        <v>71921</v>
      </c>
      <c r="F93" s="840">
        <v>51733</v>
      </c>
      <c r="G93" s="250">
        <v>71921</v>
      </c>
    </row>
    <row r="94" spans="1:8" s="502" customFormat="1" ht="11.25" x14ac:dyDescent="0.25">
      <c r="A94" s="248" t="s">
        <v>608</v>
      </c>
      <c r="B94" s="248" t="s">
        <v>605</v>
      </c>
      <c r="C94" s="840">
        <v>203543</v>
      </c>
      <c r="D94" s="250">
        <v>152911</v>
      </c>
      <c r="F94" s="840">
        <v>203543</v>
      </c>
      <c r="G94" s="250">
        <v>152911</v>
      </c>
    </row>
    <row r="95" spans="1:8" s="502" customFormat="1" ht="12" thickBot="1" x14ac:dyDescent="0.3">
      <c r="A95" s="253" t="s">
        <v>609</v>
      </c>
      <c r="B95" s="253" t="s">
        <v>606</v>
      </c>
      <c r="C95" s="898" t="s">
        <v>572</v>
      </c>
      <c r="D95" s="338">
        <v>100676</v>
      </c>
      <c r="F95" s="898" t="s">
        <v>572</v>
      </c>
      <c r="G95" s="338">
        <v>100676</v>
      </c>
    </row>
    <row r="96" spans="1:8" s="502" customFormat="1" ht="11.25" x14ac:dyDescent="0.25">
      <c r="A96" s="1031" t="s">
        <v>174</v>
      </c>
      <c r="B96" s="1031" t="s">
        <v>923</v>
      </c>
      <c r="C96" s="878">
        <v>255276.3058161019</v>
      </c>
      <c r="D96" s="258">
        <v>325508</v>
      </c>
      <c r="F96" s="878">
        <v>255276.3058161019</v>
      </c>
      <c r="G96" s="258">
        <v>325508.00775630516</v>
      </c>
    </row>
    <row r="97" spans="1:8" s="502" customFormat="1" ht="15" customHeight="1" x14ac:dyDescent="0.25">
      <c r="A97" s="298" t="s">
        <v>175</v>
      </c>
      <c r="B97" s="298" t="s">
        <v>620</v>
      </c>
      <c r="C97" s="898"/>
      <c r="D97" s="338"/>
      <c r="F97" s="898"/>
      <c r="G97" s="338"/>
    </row>
    <row r="98" spans="1:8" s="502" customFormat="1" ht="11.25" x14ac:dyDescent="0.25">
      <c r="A98" s="178" t="s">
        <v>835</v>
      </c>
      <c r="B98" s="178" t="s">
        <v>834</v>
      </c>
      <c r="C98" s="881" t="s">
        <v>572</v>
      </c>
      <c r="D98" s="269">
        <v>744</v>
      </c>
      <c r="F98" s="881" t="s">
        <v>572</v>
      </c>
      <c r="G98" s="269" t="s">
        <v>572</v>
      </c>
    </row>
    <row r="99" spans="1:8" s="502" customFormat="1" ht="11.25" x14ac:dyDescent="0.25">
      <c r="A99" s="248" t="s">
        <v>610</v>
      </c>
      <c r="B99" s="248" t="s">
        <v>618</v>
      </c>
      <c r="C99" s="840">
        <v>56350</v>
      </c>
      <c r="D99" s="250">
        <v>83281</v>
      </c>
      <c r="F99" s="840">
        <v>52915</v>
      </c>
      <c r="G99" s="250">
        <v>78711</v>
      </c>
    </row>
    <row r="100" spans="1:8" s="502" customFormat="1" ht="11.25" x14ac:dyDescent="0.25">
      <c r="A100" s="248" t="s">
        <v>608</v>
      </c>
      <c r="B100" s="248" t="s">
        <v>605</v>
      </c>
      <c r="C100" s="840">
        <v>338240</v>
      </c>
      <c r="D100" s="250">
        <v>255126</v>
      </c>
      <c r="F100" s="840">
        <v>330119</v>
      </c>
      <c r="G100" s="250">
        <v>247646</v>
      </c>
    </row>
    <row r="101" spans="1:8" s="502" customFormat="1" ht="11.25" x14ac:dyDescent="0.25">
      <c r="A101" s="248" t="s">
        <v>609</v>
      </c>
      <c r="B101" s="248" t="s">
        <v>606</v>
      </c>
      <c r="C101" s="840">
        <v>176891</v>
      </c>
      <c r="D101" s="250">
        <v>126907</v>
      </c>
      <c r="F101" s="840">
        <v>176462</v>
      </c>
      <c r="G101" s="250">
        <v>126458</v>
      </c>
    </row>
    <row r="102" spans="1:8" s="502" customFormat="1" ht="11.25" x14ac:dyDescent="0.25">
      <c r="A102" s="244" t="s">
        <v>165</v>
      </c>
      <c r="B102" s="244" t="s">
        <v>924</v>
      </c>
      <c r="C102" s="882">
        <v>571481</v>
      </c>
      <c r="D102" s="249">
        <v>466058</v>
      </c>
      <c r="F102" s="882">
        <v>559496</v>
      </c>
      <c r="G102" s="249">
        <v>452815</v>
      </c>
    </row>
    <row r="103" spans="1:8" s="502" customFormat="1" ht="12" thickBot="1" x14ac:dyDescent="0.3">
      <c r="A103" s="253"/>
      <c r="B103" s="253"/>
      <c r="C103" s="875"/>
      <c r="D103" s="1045"/>
      <c r="F103" s="875"/>
      <c r="G103" s="1045"/>
    </row>
    <row r="104" spans="1:8" s="502" customFormat="1" ht="12" thickBot="1" x14ac:dyDescent="0.3">
      <c r="A104" s="273" t="s">
        <v>161</v>
      </c>
      <c r="B104" s="273" t="s">
        <v>919</v>
      </c>
      <c r="C104" s="884">
        <v>826757.06477001379</v>
      </c>
      <c r="D104" s="272">
        <v>791566</v>
      </c>
      <c r="F104" s="884">
        <v>814771.69164985511</v>
      </c>
      <c r="G104" s="272">
        <v>778322.70634574036</v>
      </c>
    </row>
    <row r="105" spans="1:8" x14ac:dyDescent="0.25">
      <c r="A105" s="559"/>
      <c r="B105" s="559"/>
    </row>
    <row r="106" spans="1:8" ht="36.75" thickBot="1" x14ac:dyDescent="0.25">
      <c r="A106" s="558" t="s">
        <v>1582</v>
      </c>
      <c r="B106" s="560" t="s">
        <v>1583</v>
      </c>
      <c r="G106" s="1208" t="s">
        <v>1</v>
      </c>
    </row>
    <row r="107" spans="1:8" s="28" customFormat="1" ht="15.75" customHeight="1" thickBot="1" x14ac:dyDescent="0.3">
      <c r="A107" s="364"/>
      <c r="B107" s="364"/>
      <c r="C107" s="1581" t="s">
        <v>949</v>
      </c>
      <c r="D107" s="1581"/>
      <c r="E107" s="107"/>
      <c r="F107" s="1581" t="s">
        <v>1403</v>
      </c>
      <c r="G107" s="1581"/>
    </row>
    <row r="108" spans="1:8" s="28" customFormat="1" ht="15.75" thickBot="1" x14ac:dyDescent="0.3">
      <c r="A108" s="366"/>
      <c r="B108" s="312"/>
      <c r="C108" s="1273" t="s">
        <v>957</v>
      </c>
      <c r="D108" s="1274" t="s">
        <v>819</v>
      </c>
      <c r="E108" s="1218"/>
      <c r="F108" s="1273" t="s">
        <v>957</v>
      </c>
      <c r="G108" s="1274" t="s">
        <v>819</v>
      </c>
      <c r="H108" s="94"/>
    </row>
    <row r="109" spans="1:8" s="502" customFormat="1" ht="11.25" x14ac:dyDescent="0.25">
      <c r="A109" s="181"/>
      <c r="B109" s="181"/>
      <c r="C109" s="853"/>
      <c r="D109" s="181"/>
      <c r="F109" s="853"/>
      <c r="G109" s="181"/>
    </row>
    <row r="110" spans="1:8" s="502" customFormat="1" ht="11.25" x14ac:dyDescent="0.25">
      <c r="A110" s="178" t="s">
        <v>607</v>
      </c>
      <c r="B110" s="312" t="s">
        <v>604</v>
      </c>
      <c r="C110" s="825">
        <v>379854</v>
      </c>
      <c r="D110" s="100">
        <v>376099</v>
      </c>
      <c r="F110" s="825">
        <v>367869</v>
      </c>
      <c r="G110" s="100">
        <v>362856</v>
      </c>
    </row>
    <row r="111" spans="1:8" s="502" customFormat="1" ht="11.25" x14ac:dyDescent="0.25">
      <c r="A111" s="381" t="s">
        <v>608</v>
      </c>
      <c r="B111" s="381" t="s">
        <v>605</v>
      </c>
      <c r="C111" s="840">
        <v>396903</v>
      </c>
      <c r="D111" s="250">
        <v>264791</v>
      </c>
      <c r="F111" s="840">
        <v>396903</v>
      </c>
      <c r="G111" s="250">
        <v>264791</v>
      </c>
    </row>
    <row r="112" spans="1:8" s="502" customFormat="1" ht="12" thickBot="1" x14ac:dyDescent="0.3">
      <c r="A112" s="253" t="s">
        <v>609</v>
      </c>
      <c r="B112" s="253" t="s">
        <v>606</v>
      </c>
      <c r="C112" s="898">
        <v>50000</v>
      </c>
      <c r="D112" s="338">
        <v>150676</v>
      </c>
      <c r="F112" s="898">
        <v>50000</v>
      </c>
      <c r="G112" s="338">
        <v>150676</v>
      </c>
    </row>
    <row r="113" spans="1:12" s="502" customFormat="1" ht="12" thickBot="1" x14ac:dyDescent="0.3">
      <c r="A113" s="1007" t="s">
        <v>161</v>
      </c>
      <c r="B113" s="1007" t="s">
        <v>925</v>
      </c>
      <c r="C113" s="784">
        <v>826757.06420377176</v>
      </c>
      <c r="D113" s="328">
        <v>791566</v>
      </c>
      <c r="F113" s="784">
        <v>814771.69161813497</v>
      </c>
      <c r="G113" s="328">
        <v>778322.70639456669</v>
      </c>
    </row>
    <row r="114" spans="1:12" x14ac:dyDescent="0.25">
      <c r="A114" s="551"/>
      <c r="B114" s="551"/>
      <c r="C114" s="551"/>
    </row>
    <row r="115" spans="1:12" x14ac:dyDescent="0.25">
      <c r="A115" s="551"/>
      <c r="B115" s="551"/>
      <c r="C115" s="551"/>
    </row>
    <row r="116" spans="1:12" x14ac:dyDescent="0.25">
      <c r="A116" s="551"/>
      <c r="B116" s="551"/>
      <c r="C116" s="551"/>
    </row>
    <row r="117" spans="1:12" x14ac:dyDescent="0.25">
      <c r="A117" s="539" t="s">
        <v>504</v>
      </c>
      <c r="B117" s="539" t="s">
        <v>503</v>
      </c>
      <c r="C117" s="551"/>
    </row>
    <row r="118" spans="1:12" ht="6.75" customHeight="1" x14ac:dyDescent="0.25">
      <c r="A118" s="539"/>
      <c r="B118" s="539"/>
      <c r="C118" s="551"/>
    </row>
    <row r="119" spans="1:12" ht="25.5" x14ac:dyDescent="0.25">
      <c r="A119" s="518" t="s">
        <v>166</v>
      </c>
      <c r="B119" s="518" t="s">
        <v>320</v>
      </c>
      <c r="C119" s="524"/>
    </row>
    <row r="120" spans="1:12" x14ac:dyDescent="0.25">
      <c r="A120" s="518"/>
      <c r="B120" s="524"/>
      <c r="C120" s="524"/>
      <c r="D120" s="28"/>
      <c r="E120" s="28"/>
      <c r="F120" s="28"/>
    </row>
    <row r="121" spans="1:12" ht="26.25" thickBot="1" x14ac:dyDescent="0.25">
      <c r="A121" s="561" t="s">
        <v>926</v>
      </c>
      <c r="B121" s="561" t="s">
        <v>927</v>
      </c>
      <c r="C121" s="562"/>
      <c r="D121" s="28"/>
      <c r="E121" s="28"/>
      <c r="F121" s="28"/>
      <c r="L121" s="1208" t="s">
        <v>1</v>
      </c>
    </row>
    <row r="122" spans="1:12" ht="15.75" thickBot="1" x14ac:dyDescent="0.3">
      <c r="A122" s="585"/>
      <c r="B122" s="585"/>
      <c r="C122" s="584"/>
      <c r="D122" s="1581" t="s">
        <v>949</v>
      </c>
      <c r="E122" s="1581"/>
      <c r="F122" s="1581"/>
      <c r="G122" s="1581"/>
      <c r="I122" s="1581" t="s">
        <v>1403</v>
      </c>
      <c r="J122" s="1581"/>
      <c r="K122" s="1581"/>
      <c r="L122" s="1581"/>
    </row>
    <row r="123" spans="1:12" s="502" customFormat="1" ht="23.25" thickBot="1" x14ac:dyDescent="0.3">
      <c r="A123" s="99"/>
      <c r="B123" s="99"/>
      <c r="C123" s="497" t="s">
        <v>453</v>
      </c>
      <c r="D123" s="1585">
        <v>43100</v>
      </c>
      <c r="E123" s="1585"/>
      <c r="F123" s="1586">
        <v>42735</v>
      </c>
      <c r="G123" s="1586"/>
      <c r="H123" s="530"/>
      <c r="I123" s="1585">
        <v>43100</v>
      </c>
      <c r="J123" s="1585"/>
      <c r="K123" s="1586">
        <v>42735</v>
      </c>
      <c r="L123" s="1586"/>
    </row>
    <row r="124" spans="1:12" s="502" customFormat="1" ht="11.25" x14ac:dyDescent="0.25">
      <c r="A124" s="564" t="s">
        <v>167</v>
      </c>
      <c r="B124" s="564"/>
      <c r="C124" s="565"/>
      <c r="D124" s="1009" t="s">
        <v>123</v>
      </c>
      <c r="E124" s="1009" t="s">
        <v>124</v>
      </c>
      <c r="F124" s="105" t="s">
        <v>123</v>
      </c>
      <c r="G124" s="105" t="s">
        <v>124</v>
      </c>
      <c r="I124" s="1009" t="s">
        <v>123</v>
      </c>
      <c r="J124" s="1009" t="s">
        <v>124</v>
      </c>
      <c r="K124" s="105" t="s">
        <v>123</v>
      </c>
      <c r="L124" s="105" t="s">
        <v>124</v>
      </c>
    </row>
    <row r="125" spans="1:12" s="502" customFormat="1" ht="11.25" outlineLevel="1" x14ac:dyDescent="0.25">
      <c r="A125" s="564"/>
      <c r="B125" s="564"/>
      <c r="C125" s="565"/>
      <c r="D125" s="1009" t="s">
        <v>367</v>
      </c>
      <c r="E125" s="1009" t="s">
        <v>369</v>
      </c>
      <c r="F125" s="105" t="s">
        <v>367</v>
      </c>
      <c r="G125" s="105" t="s">
        <v>369</v>
      </c>
      <c r="I125" s="1009" t="s">
        <v>367</v>
      </c>
      <c r="J125" s="1009" t="s">
        <v>369</v>
      </c>
      <c r="K125" s="105" t="s">
        <v>367</v>
      </c>
      <c r="L125" s="105" t="s">
        <v>369</v>
      </c>
    </row>
    <row r="126" spans="1:12" s="502" customFormat="1" ht="15.75" customHeight="1" x14ac:dyDescent="0.25">
      <c r="A126" s="381" t="s">
        <v>422</v>
      </c>
      <c r="B126" s="531" t="s">
        <v>435</v>
      </c>
      <c r="C126" s="246" t="s">
        <v>602</v>
      </c>
      <c r="D126" s="839">
        <v>-31</v>
      </c>
      <c r="E126" s="839">
        <v>8061</v>
      </c>
      <c r="F126" s="184" t="s">
        <v>572</v>
      </c>
      <c r="G126" s="184">
        <v>11563</v>
      </c>
      <c r="I126" s="839">
        <v>-31</v>
      </c>
      <c r="J126" s="839">
        <v>8061</v>
      </c>
      <c r="K126" s="184" t="s">
        <v>572</v>
      </c>
      <c r="L126" s="184">
        <v>11563</v>
      </c>
    </row>
    <row r="127" spans="1:12" s="502" customFormat="1" ht="15.75" customHeight="1" thickBot="1" x14ac:dyDescent="0.3">
      <c r="A127" s="1017" t="s">
        <v>597</v>
      </c>
      <c r="B127" s="1017" t="s">
        <v>596</v>
      </c>
      <c r="C127" s="254" t="s">
        <v>603</v>
      </c>
      <c r="D127" s="855">
        <v>-4588</v>
      </c>
      <c r="E127" s="855">
        <v>23</v>
      </c>
      <c r="F127" s="201">
        <v>-6134</v>
      </c>
      <c r="G127" s="201">
        <v>23</v>
      </c>
      <c r="I127" s="855">
        <v>-4588</v>
      </c>
      <c r="J127" s="855">
        <v>23</v>
      </c>
      <c r="K127" s="201">
        <v>-6134</v>
      </c>
      <c r="L127" s="201">
        <v>23</v>
      </c>
    </row>
    <row r="128" spans="1:12" s="502" customFormat="1" ht="15.75" customHeight="1" thickBot="1" x14ac:dyDescent="0.3">
      <c r="A128" s="1046" t="s">
        <v>168</v>
      </c>
      <c r="B128" s="1046" t="s">
        <v>928</v>
      </c>
      <c r="C128" s="808"/>
      <c r="D128" s="948">
        <v>-4619</v>
      </c>
      <c r="E128" s="784">
        <v>8084</v>
      </c>
      <c r="F128" s="743">
        <v>-6134</v>
      </c>
      <c r="G128" s="328">
        <v>11586</v>
      </c>
      <c r="I128" s="948">
        <v>-4619</v>
      </c>
      <c r="J128" s="784">
        <v>8084</v>
      </c>
      <c r="K128" s="743">
        <v>-6134</v>
      </c>
      <c r="L128" s="328">
        <v>11586</v>
      </c>
    </row>
    <row r="129" spans="1:12" s="502" customFormat="1" ht="15.75" customHeight="1" x14ac:dyDescent="0.25">
      <c r="A129" s="1275"/>
      <c r="B129" s="1275"/>
      <c r="C129" s="1258"/>
      <c r="D129" s="1276"/>
      <c r="E129" s="73"/>
      <c r="F129" s="1276"/>
      <c r="G129" s="73"/>
      <c r="H129" s="1277"/>
      <c r="I129" s="1276"/>
      <c r="J129" s="73"/>
      <c r="K129" s="398"/>
      <c r="L129" s="1257"/>
    </row>
    <row r="130" spans="1:12" ht="15.75" thickBot="1" x14ac:dyDescent="0.25">
      <c r="A130" s="566"/>
      <c r="B130" s="567"/>
      <c r="C130" s="567"/>
      <c r="D130" s="305"/>
      <c r="E130" s="305"/>
      <c r="F130" s="305"/>
      <c r="G130" s="305"/>
      <c r="H130" s="305"/>
      <c r="L130" s="1208" t="s">
        <v>1</v>
      </c>
    </row>
    <row r="131" spans="1:12" ht="15.75" thickBot="1" x14ac:dyDescent="0.3">
      <c r="A131" s="585"/>
      <c r="B131" s="585"/>
      <c r="C131" s="587"/>
      <c r="D131" s="1581" t="s">
        <v>949</v>
      </c>
      <c r="E131" s="1581"/>
      <c r="F131" s="1581"/>
      <c r="G131" s="1581"/>
      <c r="I131" s="1581" t="s">
        <v>1403</v>
      </c>
      <c r="J131" s="1581"/>
      <c r="K131" s="1581"/>
      <c r="L131" s="1581"/>
    </row>
    <row r="132" spans="1:12" s="502" customFormat="1" ht="13.5" thickBot="1" x14ac:dyDescent="0.3">
      <c r="A132" s="99"/>
      <c r="B132" s="99"/>
      <c r="C132" s="268"/>
      <c r="D132" s="1585">
        <v>43100</v>
      </c>
      <c r="E132" s="1585"/>
      <c r="F132" s="1586">
        <v>42735</v>
      </c>
      <c r="G132" s="1586"/>
      <c r="H132" s="530"/>
      <c r="I132" s="1585">
        <v>43100</v>
      </c>
      <c r="J132" s="1585"/>
      <c r="K132" s="1586">
        <v>42735</v>
      </c>
      <c r="L132" s="1586"/>
    </row>
    <row r="133" spans="1:12" s="502" customFormat="1" ht="11.25" x14ac:dyDescent="0.25">
      <c r="A133" s="568"/>
      <c r="B133" s="568"/>
      <c r="C133" s="568"/>
      <c r="D133" s="1009" t="s">
        <v>123</v>
      </c>
      <c r="E133" s="1009" t="s">
        <v>124</v>
      </c>
      <c r="F133" s="105" t="s">
        <v>123</v>
      </c>
      <c r="G133" s="105" t="s">
        <v>124</v>
      </c>
      <c r="I133" s="1009" t="s">
        <v>123</v>
      </c>
      <c r="J133" s="1009" t="s">
        <v>124</v>
      </c>
      <c r="K133" s="105" t="s">
        <v>123</v>
      </c>
      <c r="L133" s="105" t="s">
        <v>124</v>
      </c>
    </row>
    <row r="134" spans="1:12" s="502" customFormat="1" ht="11.25" outlineLevel="1" x14ac:dyDescent="0.25">
      <c r="A134" s="568"/>
      <c r="B134" s="568"/>
      <c r="C134" s="568"/>
      <c r="D134" s="1009" t="s">
        <v>367</v>
      </c>
      <c r="E134" s="1009" t="s">
        <v>369</v>
      </c>
      <c r="F134" s="105" t="s">
        <v>367</v>
      </c>
      <c r="G134" s="105" t="s">
        <v>369</v>
      </c>
      <c r="I134" s="1009" t="s">
        <v>367</v>
      </c>
      <c r="J134" s="1009" t="s">
        <v>369</v>
      </c>
      <c r="K134" s="105" t="s">
        <v>367</v>
      </c>
      <c r="L134" s="105" t="s">
        <v>369</v>
      </c>
    </row>
    <row r="135" spans="1:12" s="502" customFormat="1" ht="15.75" customHeight="1" x14ac:dyDescent="0.25">
      <c r="A135" s="531" t="s">
        <v>169</v>
      </c>
      <c r="B135" s="531" t="s">
        <v>929</v>
      </c>
      <c r="C135" s="531"/>
      <c r="D135" s="780" t="s">
        <v>572</v>
      </c>
      <c r="E135" s="839">
        <v>4914</v>
      </c>
      <c r="F135" s="190" t="s">
        <v>572</v>
      </c>
      <c r="G135" s="184">
        <v>7946</v>
      </c>
      <c r="I135" s="780" t="s">
        <v>572</v>
      </c>
      <c r="J135" s="839">
        <v>4914</v>
      </c>
      <c r="K135" s="190" t="s">
        <v>572</v>
      </c>
      <c r="L135" s="184">
        <v>7946</v>
      </c>
    </row>
    <row r="136" spans="1:12" s="502" customFormat="1" ht="15.75" customHeight="1" thickBot="1" x14ac:dyDescent="0.3">
      <c r="A136" s="1017" t="s">
        <v>170</v>
      </c>
      <c r="B136" s="1017" t="s">
        <v>321</v>
      </c>
      <c r="C136" s="1017"/>
      <c r="D136" s="855">
        <v>-4619</v>
      </c>
      <c r="E136" s="857">
        <v>3170</v>
      </c>
      <c r="F136" s="201">
        <v>-6134</v>
      </c>
      <c r="G136" s="397">
        <v>3640</v>
      </c>
      <c r="I136" s="855">
        <v>-4619</v>
      </c>
      <c r="J136" s="857">
        <v>3170</v>
      </c>
      <c r="K136" s="201">
        <v>-6134</v>
      </c>
      <c r="L136" s="397">
        <v>3640</v>
      </c>
    </row>
    <row r="137" spans="1:12" s="502" customFormat="1" ht="15.75" customHeight="1" thickBot="1" x14ac:dyDescent="0.3">
      <c r="A137" s="1046" t="s">
        <v>168</v>
      </c>
      <c r="B137" s="1046" t="s">
        <v>930</v>
      </c>
      <c r="C137" s="1046"/>
      <c r="D137" s="948">
        <v>-4619</v>
      </c>
      <c r="E137" s="784">
        <v>8084</v>
      </c>
      <c r="F137" s="743">
        <v>-6134</v>
      </c>
      <c r="G137" s="328">
        <v>11586</v>
      </c>
      <c r="I137" s="948">
        <v>-4619</v>
      </c>
      <c r="J137" s="784">
        <v>8084</v>
      </c>
      <c r="K137" s="743">
        <v>-6134</v>
      </c>
      <c r="L137" s="328">
        <v>11586</v>
      </c>
    </row>
    <row r="138" spans="1:12" x14ac:dyDescent="0.25">
      <c r="A138" s="569"/>
      <c r="B138" s="569"/>
      <c r="C138" s="569"/>
    </row>
    <row r="139" spans="1:12" ht="24.75" thickBot="1" x14ac:dyDescent="0.25">
      <c r="A139" s="570" t="s">
        <v>1586</v>
      </c>
      <c r="B139" s="492" t="s">
        <v>1587</v>
      </c>
      <c r="C139" s="569"/>
      <c r="H139" s="1208" t="s">
        <v>1</v>
      </c>
    </row>
    <row r="140" spans="1:12" ht="15.75" thickBot="1" x14ac:dyDescent="0.3">
      <c r="A140" s="588"/>
      <c r="B140" s="589"/>
      <c r="C140" s="1497" t="s">
        <v>453</v>
      </c>
      <c r="D140" s="1581" t="s">
        <v>949</v>
      </c>
      <c r="E140" s="1581"/>
      <c r="F140" s="535"/>
      <c r="G140" s="1581" t="s">
        <v>1403</v>
      </c>
      <c r="H140" s="1581"/>
    </row>
    <row r="141" spans="1:12" ht="15.75" thickBot="1" x14ac:dyDescent="0.3">
      <c r="A141" s="99"/>
      <c r="B141" s="99"/>
      <c r="C141" s="1584"/>
      <c r="D141" s="1224">
        <v>2017</v>
      </c>
      <c r="E141" s="1225">
        <v>2016</v>
      </c>
      <c r="F141" s="530"/>
      <c r="G141" s="1224">
        <v>2017</v>
      </c>
      <c r="H141" s="1225">
        <v>2016</v>
      </c>
    </row>
    <row r="142" spans="1:12" x14ac:dyDescent="0.25">
      <c r="A142" s="555" t="s">
        <v>1327</v>
      </c>
      <c r="B142" s="555" t="s">
        <v>1326</v>
      </c>
      <c r="C142" s="555"/>
      <c r="D142" s="1009"/>
      <c r="E142" s="105"/>
      <c r="G142" s="1009"/>
      <c r="H142" s="105"/>
    </row>
    <row r="143" spans="1:12" x14ac:dyDescent="0.25">
      <c r="A143" s="178" t="s">
        <v>422</v>
      </c>
      <c r="B143" s="312" t="s">
        <v>435</v>
      </c>
      <c r="C143" s="571" t="s">
        <v>683</v>
      </c>
      <c r="D143" s="867" t="s">
        <v>572</v>
      </c>
      <c r="E143" s="229">
        <v>-760</v>
      </c>
      <c r="G143" s="867" t="s">
        <v>572</v>
      </c>
      <c r="H143" s="229">
        <v>-760</v>
      </c>
      <c r="K143" s="640"/>
    </row>
    <row r="144" spans="1:12" x14ac:dyDescent="0.25">
      <c r="A144" s="248" t="s">
        <v>597</v>
      </c>
      <c r="B144" s="248" t="s">
        <v>596</v>
      </c>
      <c r="C144" s="572">
        <v>8</v>
      </c>
      <c r="D144" s="867">
        <v>3435</v>
      </c>
      <c r="E144" s="229">
        <v>-6515</v>
      </c>
      <c r="G144" s="867">
        <v>3435</v>
      </c>
      <c r="H144" s="229">
        <v>-6515</v>
      </c>
    </row>
    <row r="145" spans="1:12" x14ac:dyDescent="0.25">
      <c r="A145" s="244"/>
      <c r="B145" s="244"/>
      <c r="C145" s="573"/>
      <c r="D145" s="905">
        <v>3435</v>
      </c>
      <c r="E145" s="390">
        <v>-7275</v>
      </c>
      <c r="G145" s="905">
        <v>3435</v>
      </c>
      <c r="H145" s="390">
        <v>-7275</v>
      </c>
    </row>
    <row r="146" spans="1:12" x14ac:dyDescent="0.25">
      <c r="A146" s="244" t="s">
        <v>1585</v>
      </c>
      <c r="B146" s="244" t="s">
        <v>1584</v>
      </c>
      <c r="C146" s="573"/>
      <c r="D146" s="786"/>
      <c r="E146" s="345"/>
      <c r="G146" s="786"/>
      <c r="H146" s="345"/>
    </row>
    <row r="147" spans="1:12" x14ac:dyDescent="0.25">
      <c r="A147" s="248" t="s">
        <v>422</v>
      </c>
      <c r="B147" s="248" t="s">
        <v>435</v>
      </c>
      <c r="C147" s="572" t="s">
        <v>711</v>
      </c>
      <c r="D147" s="839">
        <v>-3533.2247799999996</v>
      </c>
      <c r="E147" s="184">
        <v>-693</v>
      </c>
      <c r="G147" s="839">
        <v>-3533.2247799999996</v>
      </c>
      <c r="H147" s="184">
        <v>-693</v>
      </c>
    </row>
    <row r="148" spans="1:12" ht="15.75" thickBot="1" x14ac:dyDescent="0.3">
      <c r="A148" s="253" t="s">
        <v>597</v>
      </c>
      <c r="B148" s="253" t="s">
        <v>596</v>
      </c>
      <c r="C148" s="1044" t="s">
        <v>711</v>
      </c>
      <c r="D148" s="855">
        <v>-1889</v>
      </c>
      <c r="E148" s="201">
        <v>-2154</v>
      </c>
      <c r="G148" s="855">
        <v>-1889</v>
      </c>
      <c r="H148" s="201">
        <v>-2154</v>
      </c>
    </row>
    <row r="149" spans="1:12" ht="15.75" thickBot="1" x14ac:dyDescent="0.3">
      <c r="A149" s="273"/>
      <c r="B149" s="273"/>
      <c r="C149" s="808"/>
      <c r="D149" s="948">
        <v>-5422.2247799999996</v>
      </c>
      <c r="E149" s="743">
        <v>-2847</v>
      </c>
      <c r="G149" s="948">
        <v>-5422.2247799999996</v>
      </c>
      <c r="H149" s="743">
        <v>-2847</v>
      </c>
    </row>
    <row r="150" spans="1:12" x14ac:dyDescent="0.25">
      <c r="A150" s="569"/>
      <c r="B150" s="569"/>
      <c r="C150" s="569"/>
    </row>
    <row r="151" spans="1:12" x14ac:dyDescent="0.25">
      <c r="A151" s="518" t="s">
        <v>505</v>
      </c>
      <c r="B151" s="524" t="s">
        <v>506</v>
      </c>
      <c r="C151" s="524"/>
    </row>
    <row r="152" spans="1:12" x14ac:dyDescent="0.25">
      <c r="A152" s="569"/>
      <c r="B152" s="569"/>
      <c r="C152" s="569"/>
    </row>
    <row r="153" spans="1:12" ht="24.75" thickBot="1" x14ac:dyDescent="0.25">
      <c r="A153" s="574" t="s">
        <v>1589</v>
      </c>
      <c r="B153" s="493" t="s">
        <v>1588</v>
      </c>
      <c r="C153" s="476"/>
      <c r="L153" s="1208" t="s">
        <v>1</v>
      </c>
    </row>
    <row r="154" spans="1:12" ht="15.75" thickBot="1" x14ac:dyDescent="0.3">
      <c r="A154" s="585"/>
      <c r="B154" s="585"/>
      <c r="C154" s="587"/>
      <c r="D154" s="1581" t="s">
        <v>949</v>
      </c>
      <c r="E154" s="1581"/>
      <c r="F154" s="1581"/>
      <c r="G154" s="1581"/>
      <c r="I154" s="1581" t="s">
        <v>1403</v>
      </c>
      <c r="J154" s="1581"/>
      <c r="K154" s="1581"/>
      <c r="L154" s="1581"/>
    </row>
    <row r="155" spans="1:12" s="502" customFormat="1" ht="13.5" thickBot="1" x14ac:dyDescent="0.3">
      <c r="A155" s="99"/>
      <c r="B155" s="99"/>
      <c r="C155" s="268"/>
      <c r="D155" s="1587">
        <v>2017</v>
      </c>
      <c r="E155" s="1587"/>
      <c r="F155" s="1588">
        <v>2016</v>
      </c>
      <c r="G155" s="1588"/>
      <c r="H155" s="530"/>
      <c r="I155" s="1587">
        <v>2017</v>
      </c>
      <c r="J155" s="1587"/>
      <c r="K155" s="1588">
        <v>2016</v>
      </c>
      <c r="L155" s="1588"/>
    </row>
    <row r="156" spans="1:12" s="502" customFormat="1" ht="11.25" x14ac:dyDescent="0.25">
      <c r="A156" s="312"/>
      <c r="B156" s="312"/>
      <c r="C156" s="312"/>
      <c r="D156" s="1041" t="s">
        <v>123</v>
      </c>
      <c r="E156" s="1041" t="s">
        <v>124</v>
      </c>
      <c r="F156" s="563" t="s">
        <v>123</v>
      </c>
      <c r="G156" s="563" t="s">
        <v>124</v>
      </c>
      <c r="I156" s="1041" t="s">
        <v>123</v>
      </c>
      <c r="J156" s="1041" t="s">
        <v>124</v>
      </c>
      <c r="K156" s="563" t="s">
        <v>123</v>
      </c>
      <c r="L156" s="563" t="s">
        <v>124</v>
      </c>
    </row>
    <row r="157" spans="1:12" s="502" customFormat="1" ht="11.25" outlineLevel="1" x14ac:dyDescent="0.25">
      <c r="A157" s="312"/>
      <c r="B157" s="312"/>
      <c r="C157" s="312"/>
      <c r="D157" s="1009" t="s">
        <v>367</v>
      </c>
      <c r="E157" s="1009" t="s">
        <v>369</v>
      </c>
      <c r="F157" s="105" t="s">
        <v>367</v>
      </c>
      <c r="G157" s="105" t="s">
        <v>369</v>
      </c>
      <c r="I157" s="1009" t="s">
        <v>367</v>
      </c>
      <c r="J157" s="1009" t="s">
        <v>369</v>
      </c>
      <c r="K157" s="105" t="s">
        <v>367</v>
      </c>
      <c r="L157" s="105" t="s">
        <v>369</v>
      </c>
    </row>
    <row r="158" spans="1:12" s="502" customFormat="1" ht="15.75" customHeight="1" x14ac:dyDescent="0.25">
      <c r="A158" s="575" t="s">
        <v>171</v>
      </c>
      <c r="B158" s="244" t="s">
        <v>322</v>
      </c>
      <c r="C158" s="244"/>
      <c r="D158" s="905" t="s">
        <v>572</v>
      </c>
      <c r="E158" s="883">
        <v>11563</v>
      </c>
      <c r="F158" s="390" t="s">
        <v>572</v>
      </c>
      <c r="G158" s="210">
        <v>13016</v>
      </c>
      <c r="I158" s="905" t="s">
        <v>572</v>
      </c>
      <c r="J158" s="883">
        <v>11563</v>
      </c>
      <c r="K158" s="390" t="s">
        <v>572</v>
      </c>
      <c r="L158" s="210">
        <v>13016</v>
      </c>
    </row>
    <row r="159" spans="1:12" s="502" customFormat="1" ht="11.25" x14ac:dyDescent="0.2">
      <c r="A159" s="248" t="s">
        <v>1590</v>
      </c>
      <c r="B159" s="248" t="s">
        <v>1592</v>
      </c>
      <c r="C159" s="319"/>
      <c r="D159" s="896" t="s">
        <v>572</v>
      </c>
      <c r="E159" s="955" t="s">
        <v>572</v>
      </c>
      <c r="F159" s="333" t="s">
        <v>572</v>
      </c>
      <c r="G159" s="418">
        <v>-760</v>
      </c>
      <c r="I159" s="896" t="s">
        <v>572</v>
      </c>
      <c r="J159" s="955" t="s">
        <v>572</v>
      </c>
      <c r="K159" s="333" t="s">
        <v>572</v>
      </c>
      <c r="L159" s="418">
        <v>-760</v>
      </c>
    </row>
    <row r="160" spans="1:12" s="502" customFormat="1" ht="15.75" customHeight="1" thickBot="1" x14ac:dyDescent="0.3">
      <c r="A160" s="253" t="s">
        <v>1591</v>
      </c>
      <c r="B160" s="253" t="s">
        <v>599</v>
      </c>
      <c r="C160" s="253"/>
      <c r="D160" s="855">
        <v>-31</v>
      </c>
      <c r="E160" s="857">
        <v>-3502.2077811274939</v>
      </c>
      <c r="F160" s="201" t="s">
        <v>572</v>
      </c>
      <c r="G160" s="397">
        <v>-693</v>
      </c>
      <c r="I160" s="855">
        <v>-31</v>
      </c>
      <c r="J160" s="857">
        <v>-3502.2077811274939</v>
      </c>
      <c r="K160" s="201" t="s">
        <v>572</v>
      </c>
      <c r="L160" s="397">
        <v>-693</v>
      </c>
    </row>
    <row r="161" spans="1:12" s="502" customFormat="1" ht="15.75" customHeight="1" thickBot="1" x14ac:dyDescent="0.3">
      <c r="A161" s="273" t="s">
        <v>172</v>
      </c>
      <c r="B161" s="273" t="s">
        <v>323</v>
      </c>
      <c r="C161" s="273"/>
      <c r="D161" s="948">
        <v>-31</v>
      </c>
      <c r="E161" s="784">
        <v>8060.7922188725061</v>
      </c>
      <c r="F161" s="328" t="s">
        <v>572</v>
      </c>
      <c r="G161" s="328">
        <v>11563</v>
      </c>
      <c r="I161" s="948">
        <v>-31</v>
      </c>
      <c r="J161" s="784">
        <v>8060.7922188725061</v>
      </c>
      <c r="K161" s="328" t="s">
        <v>572</v>
      </c>
      <c r="L161" s="328">
        <v>11563</v>
      </c>
    </row>
    <row r="162" spans="1:12" x14ac:dyDescent="0.25">
      <c r="A162" s="569"/>
      <c r="B162" s="569"/>
      <c r="C162" s="305"/>
      <c r="D162" s="305"/>
      <c r="E162" s="305"/>
      <c r="F162" s="305"/>
      <c r="G162" s="305"/>
      <c r="H162" s="305"/>
    </row>
    <row r="163" spans="1:12" x14ac:dyDescent="0.25">
      <c r="A163" s="518" t="s">
        <v>600</v>
      </c>
      <c r="B163" s="524" t="s">
        <v>601</v>
      </c>
    </row>
    <row r="164" spans="1:12" x14ac:dyDescent="0.25">
      <c r="A164" s="569"/>
      <c r="B164" s="569"/>
      <c r="C164" s="305"/>
      <c r="D164" s="305"/>
      <c r="E164" s="305"/>
      <c r="F164" s="305"/>
      <c r="G164" s="305"/>
      <c r="H164" s="305"/>
    </row>
    <row r="165" spans="1:12" ht="24.75" thickBot="1" x14ac:dyDescent="0.25">
      <c r="A165" s="574" t="s">
        <v>1593</v>
      </c>
      <c r="B165" s="576" t="s">
        <v>1594</v>
      </c>
      <c r="L165" s="1208" t="s">
        <v>1</v>
      </c>
    </row>
    <row r="166" spans="1:12" ht="15.75" thickBot="1" x14ac:dyDescent="0.3">
      <c r="A166" s="585"/>
      <c r="B166" s="585"/>
      <c r="C166" s="587"/>
      <c r="D166" s="1581" t="s">
        <v>949</v>
      </c>
      <c r="E166" s="1581"/>
      <c r="F166" s="1581"/>
      <c r="G166" s="1581"/>
      <c r="I166" s="1581" t="s">
        <v>1403</v>
      </c>
      <c r="J166" s="1581"/>
      <c r="K166" s="1581"/>
      <c r="L166" s="1581"/>
    </row>
    <row r="167" spans="1:12" s="502" customFormat="1" ht="13.5" thickBot="1" x14ac:dyDescent="0.3">
      <c r="A167" s="99"/>
      <c r="B167" s="99"/>
      <c r="C167" s="268"/>
      <c r="D167" s="1587">
        <v>2017</v>
      </c>
      <c r="E167" s="1587"/>
      <c r="F167" s="1588">
        <v>2016</v>
      </c>
      <c r="G167" s="1588"/>
      <c r="H167" s="530"/>
      <c r="I167" s="1587">
        <v>2017</v>
      </c>
      <c r="J167" s="1587"/>
      <c r="K167" s="1588">
        <v>2016</v>
      </c>
      <c r="L167" s="1588"/>
    </row>
    <row r="168" spans="1:12" ht="11.25" customHeight="1" x14ac:dyDescent="0.25">
      <c r="A168" s="355"/>
      <c r="B168" s="355"/>
      <c r="C168" s="355"/>
      <c r="D168" s="1042" t="s">
        <v>123</v>
      </c>
      <c r="E168" s="1042" t="s">
        <v>124</v>
      </c>
      <c r="F168" s="577" t="s">
        <v>123</v>
      </c>
      <c r="G168" s="577" t="s">
        <v>124</v>
      </c>
      <c r="I168" s="1042" t="s">
        <v>123</v>
      </c>
      <c r="J168" s="1042" t="s">
        <v>124</v>
      </c>
      <c r="K168" s="577" t="s">
        <v>123</v>
      </c>
      <c r="L168" s="577" t="s">
        <v>124</v>
      </c>
    </row>
    <row r="169" spans="1:12" ht="11.25" customHeight="1" outlineLevel="1" x14ac:dyDescent="0.25">
      <c r="A169" s="312"/>
      <c r="B169" s="312"/>
      <c r="C169" s="312"/>
      <c r="D169" s="1043" t="s">
        <v>367</v>
      </c>
      <c r="E169" s="1043" t="s">
        <v>369</v>
      </c>
      <c r="F169" s="106" t="s">
        <v>367</v>
      </c>
      <c r="G169" s="106" t="s">
        <v>369</v>
      </c>
      <c r="I169" s="1043" t="s">
        <v>367</v>
      </c>
      <c r="J169" s="1043" t="s">
        <v>369</v>
      </c>
      <c r="K169" s="106" t="s">
        <v>367</v>
      </c>
      <c r="L169" s="106" t="s">
        <v>369</v>
      </c>
    </row>
    <row r="170" spans="1:12" x14ac:dyDescent="0.25">
      <c r="A170" s="575" t="s">
        <v>171</v>
      </c>
      <c r="B170" s="244" t="s">
        <v>322</v>
      </c>
      <c r="C170" s="244"/>
      <c r="D170" s="905">
        <v>-6134</v>
      </c>
      <c r="E170" s="905">
        <v>23</v>
      </c>
      <c r="F170" s="390" t="s">
        <v>572</v>
      </c>
      <c r="G170" s="390">
        <v>2558</v>
      </c>
      <c r="I170" s="905">
        <v>-6134</v>
      </c>
      <c r="J170" s="905">
        <v>23</v>
      </c>
      <c r="K170" s="390" t="s">
        <v>572</v>
      </c>
      <c r="L170" s="390">
        <v>2558</v>
      </c>
    </row>
    <row r="171" spans="1:12" x14ac:dyDescent="0.25">
      <c r="A171" s="248" t="s">
        <v>1332</v>
      </c>
      <c r="B171" s="248" t="s">
        <v>1331</v>
      </c>
      <c r="C171" s="248"/>
      <c r="D171" s="839">
        <v>3435</v>
      </c>
      <c r="E171" s="867" t="s">
        <v>572</v>
      </c>
      <c r="F171" s="184">
        <v>-3980</v>
      </c>
      <c r="G171" s="229">
        <v>-2535</v>
      </c>
      <c r="I171" s="839">
        <v>3435</v>
      </c>
      <c r="J171" s="867" t="s">
        <v>572</v>
      </c>
      <c r="K171" s="184">
        <v>-3980</v>
      </c>
      <c r="L171" s="229">
        <v>-2535</v>
      </c>
    </row>
    <row r="172" spans="1:12" ht="15.75" thickBot="1" x14ac:dyDescent="0.3">
      <c r="A172" s="253" t="s">
        <v>598</v>
      </c>
      <c r="B172" s="253" t="s">
        <v>599</v>
      </c>
      <c r="C172" s="253"/>
      <c r="D172" s="855">
        <v>-1889</v>
      </c>
      <c r="E172" s="857" t="s">
        <v>572</v>
      </c>
      <c r="F172" s="201">
        <v>-2154</v>
      </c>
      <c r="G172" s="397" t="s">
        <v>572</v>
      </c>
      <c r="I172" s="855">
        <v>-1889</v>
      </c>
      <c r="J172" s="857" t="s">
        <v>572</v>
      </c>
      <c r="K172" s="201">
        <v>-2154</v>
      </c>
      <c r="L172" s="397" t="s">
        <v>572</v>
      </c>
    </row>
    <row r="173" spans="1:12" ht="15.75" thickBot="1" x14ac:dyDescent="0.3">
      <c r="A173" s="273" t="s">
        <v>172</v>
      </c>
      <c r="B173" s="273" t="s">
        <v>323</v>
      </c>
      <c r="C173" s="273"/>
      <c r="D173" s="948">
        <v>-4588</v>
      </c>
      <c r="E173" s="948">
        <v>23</v>
      </c>
      <c r="F173" s="743">
        <v>-6134</v>
      </c>
      <c r="G173" s="743">
        <v>23</v>
      </c>
      <c r="I173" s="948">
        <v>-4588</v>
      </c>
      <c r="J173" s="948">
        <v>23</v>
      </c>
      <c r="K173" s="743">
        <v>-6134</v>
      </c>
      <c r="L173" s="743">
        <v>23</v>
      </c>
    </row>
    <row r="174" spans="1:12" x14ac:dyDescent="0.25">
      <c r="A174" s="550"/>
      <c r="B174" s="550"/>
      <c r="C174" s="550"/>
    </row>
    <row r="175" spans="1:12" x14ac:dyDescent="0.25">
      <c r="A175" s="550"/>
      <c r="B175" s="550"/>
      <c r="C175" s="550"/>
    </row>
    <row r="176" spans="1:12" x14ac:dyDescent="0.25">
      <c r="A176" s="550"/>
      <c r="B176" s="550"/>
      <c r="C176" s="550"/>
      <c r="D176" s="640"/>
    </row>
    <row r="177" spans="1:7" x14ac:dyDescent="0.25">
      <c r="A177" s="550"/>
      <c r="B177" s="550"/>
      <c r="C177" s="550"/>
      <c r="D177" s="640"/>
    </row>
    <row r="178" spans="1:7" x14ac:dyDescent="0.25">
      <c r="A178" s="550"/>
      <c r="B178" s="550"/>
      <c r="C178" s="550"/>
    </row>
    <row r="179" spans="1:7" x14ac:dyDescent="0.25">
      <c r="A179" s="550"/>
      <c r="B179" s="550"/>
      <c r="C179" s="550"/>
    </row>
    <row r="180" spans="1:7" x14ac:dyDescent="0.25">
      <c r="G180" s="304"/>
    </row>
  </sheetData>
  <sheetProtection algorithmName="SHA-512" hashValue="kudjyKMPkdthA5zlTYwaKKl2a9YsxaLkh8VpFPIV55hKRP0BxrrkBoPRHNIxfWSLyJz4jEJaTYgSnKkf23esPA==" saltValue="MwozmzLjKbAdUtmzF/wWgw==" spinCount="100000" sheet="1" objects="1" scenarios="1"/>
  <mergeCells count="44">
    <mergeCell ref="I166:L166"/>
    <mergeCell ref="D167:E167"/>
    <mergeCell ref="F167:G167"/>
    <mergeCell ref="I167:J167"/>
    <mergeCell ref="K167:L167"/>
    <mergeCell ref="I154:L154"/>
    <mergeCell ref="D155:E155"/>
    <mergeCell ref="F155:G155"/>
    <mergeCell ref="I155:J155"/>
    <mergeCell ref="K155:L155"/>
    <mergeCell ref="D131:G131"/>
    <mergeCell ref="I131:L131"/>
    <mergeCell ref="D132:E132"/>
    <mergeCell ref="F132:G132"/>
    <mergeCell ref="I132:J132"/>
    <mergeCell ref="K132:L132"/>
    <mergeCell ref="F107:G107"/>
    <mergeCell ref="I123:J123"/>
    <mergeCell ref="K123:L123"/>
    <mergeCell ref="F123:G123"/>
    <mergeCell ref="D122:G122"/>
    <mergeCell ref="I122:L122"/>
    <mergeCell ref="C107:D107"/>
    <mergeCell ref="D6:H6"/>
    <mergeCell ref="C27:D27"/>
    <mergeCell ref="F27:G27"/>
    <mergeCell ref="C41:D41"/>
    <mergeCell ref="F41:G41"/>
    <mergeCell ref="J6:L6"/>
    <mergeCell ref="G140:H140"/>
    <mergeCell ref="D154:G154"/>
    <mergeCell ref="D166:G166"/>
    <mergeCell ref="A7:B8"/>
    <mergeCell ref="C53:D53"/>
    <mergeCell ref="C90:D90"/>
    <mergeCell ref="D140:E140"/>
    <mergeCell ref="C140:C141"/>
    <mergeCell ref="D123:E123"/>
    <mergeCell ref="F53:G53"/>
    <mergeCell ref="C68:D68"/>
    <mergeCell ref="F68:G68"/>
    <mergeCell ref="C81:D81"/>
    <mergeCell ref="F81:G81"/>
    <mergeCell ref="F90:G90"/>
  </mergeCells>
  <pageMargins left="0" right="0" top="0.35433070866141736" bottom="0.35433070866141736"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51"/>
  <sheetViews>
    <sheetView showGridLines="0" zoomScaleNormal="100" workbookViewId="0">
      <pane ySplit="7" topLeftCell="A8" activePane="bottomLeft" state="frozen"/>
      <selection pane="bottomLeft" activeCell="A8" sqref="A8"/>
    </sheetView>
  </sheetViews>
  <sheetFormatPr defaultColWidth="9.140625" defaultRowHeight="15" outlineLevelCol="1" x14ac:dyDescent="0.25"/>
  <cols>
    <col min="1" max="1" width="48.85546875" style="23" customWidth="1"/>
    <col min="2" max="2" width="48.85546875" style="23" customWidth="1" outlineLevel="1"/>
    <col min="3" max="3" width="11.85546875" style="23" customWidth="1"/>
    <col min="4" max="5" width="11.42578125" style="23" customWidth="1"/>
    <col min="6" max="6" width="2.42578125" style="23" customWidth="1"/>
    <col min="7" max="8" width="15.85546875" style="23" customWidth="1"/>
    <col min="9" max="16384" width="9.140625" style="23"/>
  </cols>
  <sheetData>
    <row r="1" spans="1:8" x14ac:dyDescent="0.25">
      <c r="A1" s="384" t="str">
        <f>'Key Figures'!A1</f>
        <v>LATVENERGO KONCERNA KONSOLIDĒTIE un</v>
      </c>
      <c r="B1" s="384" t="str">
        <f>'Key Figures'!B1</f>
        <v>LATVENERGO GROUP CONSOLIDATED and</v>
      </c>
    </row>
    <row r="2" spans="1:8" ht="18.75" x14ac:dyDescent="0.25">
      <c r="A2" s="384" t="str">
        <f>'Key Figures'!A2</f>
        <v>AS „LATVENERGO” 2017. GADA FINANŠU PĀRSKATI</v>
      </c>
      <c r="B2" s="384" t="str">
        <f>'Key Figures'!B2</f>
        <v>LATVENERGO AS FINANCIAL STATEMENTS 2017</v>
      </c>
      <c r="C2" s="25"/>
    </row>
    <row r="3" spans="1:8" ht="15.75" x14ac:dyDescent="0.25">
      <c r="A3" s="59" t="s">
        <v>1087</v>
      </c>
      <c r="B3" s="59" t="s">
        <v>1088</v>
      </c>
    </row>
    <row r="4" spans="1:8" s="25" customFormat="1" ht="19.5" thickBot="1" x14ac:dyDescent="0.3">
      <c r="B4" s="24"/>
      <c r="H4" s="703" t="str">
        <f>'Key Figures'!N5</f>
        <v>EUR’000</v>
      </c>
    </row>
    <row r="5" spans="1:8" s="25" customFormat="1" ht="18.75" customHeight="1" x14ac:dyDescent="0.25">
      <c r="A5" s="1470"/>
      <c r="B5" s="1470"/>
      <c r="C5" s="1468" t="s">
        <v>453</v>
      </c>
      <c r="D5" s="1467" t="s">
        <v>949</v>
      </c>
      <c r="E5" s="1467"/>
      <c r="F5" s="176"/>
      <c r="G5" s="1467" t="s">
        <v>1403</v>
      </c>
      <c r="H5" s="1467"/>
    </row>
    <row r="6" spans="1:8" ht="15.75" thickBot="1" x14ac:dyDescent="0.3">
      <c r="A6" s="1471"/>
      <c r="B6" s="1471"/>
      <c r="C6" s="1469"/>
      <c r="D6" s="1219">
        <v>2017</v>
      </c>
      <c r="E6" s="1220">
        <v>2016</v>
      </c>
      <c r="F6" s="1412"/>
      <c r="G6" s="1219">
        <v>2017</v>
      </c>
      <c r="H6" s="1220">
        <v>2016</v>
      </c>
    </row>
    <row r="7" spans="1:8" s="26" customFormat="1" ht="11.25" x14ac:dyDescent="0.25">
      <c r="A7" s="178"/>
      <c r="B7" s="179"/>
      <c r="C7" s="180"/>
      <c r="D7" s="853"/>
      <c r="E7" s="181"/>
      <c r="F7" s="71"/>
      <c r="G7" s="853"/>
      <c r="H7" s="181"/>
    </row>
    <row r="8" spans="1:8" s="26" customFormat="1" ht="11.25" x14ac:dyDescent="0.25">
      <c r="A8" s="182" t="s">
        <v>2</v>
      </c>
      <c r="B8" s="182" t="s">
        <v>194</v>
      </c>
      <c r="C8" s="183">
        <v>6</v>
      </c>
      <c r="D8" s="839">
        <v>925627</v>
      </c>
      <c r="E8" s="184">
        <v>931619</v>
      </c>
      <c r="F8" s="71"/>
      <c r="G8" s="839">
        <v>498580</v>
      </c>
      <c r="H8" s="184">
        <v>513563</v>
      </c>
    </row>
    <row r="9" spans="1:8" s="26" customFormat="1" ht="11.25" x14ac:dyDescent="0.25">
      <c r="A9" s="182" t="s">
        <v>3</v>
      </c>
      <c r="B9" s="182" t="s">
        <v>195</v>
      </c>
      <c r="C9" s="183">
        <v>7</v>
      </c>
      <c r="D9" s="839">
        <v>149950</v>
      </c>
      <c r="E9" s="184">
        <v>6656</v>
      </c>
      <c r="F9" s="71"/>
      <c r="G9" s="839">
        <v>147502</v>
      </c>
      <c r="H9" s="184">
        <v>3115</v>
      </c>
    </row>
    <row r="10" spans="1:8" s="26" customFormat="1" ht="11.25" x14ac:dyDescent="0.25">
      <c r="A10" s="182" t="s">
        <v>4</v>
      </c>
      <c r="B10" s="182" t="s">
        <v>196</v>
      </c>
      <c r="C10" s="183">
        <v>8</v>
      </c>
      <c r="D10" s="839">
        <v>-346911</v>
      </c>
      <c r="E10" s="184">
        <v>-385814</v>
      </c>
      <c r="F10" s="71"/>
      <c r="G10" s="839">
        <v>-153954</v>
      </c>
      <c r="H10" s="184">
        <v>-186258</v>
      </c>
    </row>
    <row r="11" spans="1:8" s="26" customFormat="1" ht="11.25" x14ac:dyDescent="0.25">
      <c r="A11" s="182" t="s">
        <v>5</v>
      </c>
      <c r="B11" s="182" t="s">
        <v>197</v>
      </c>
      <c r="C11" s="183">
        <v>9</v>
      </c>
      <c r="D11" s="839">
        <v>-113289</v>
      </c>
      <c r="E11" s="184">
        <v>-96019</v>
      </c>
      <c r="F11" s="71"/>
      <c r="G11" s="839">
        <v>-44892</v>
      </c>
      <c r="H11" s="184">
        <v>-39165</v>
      </c>
    </row>
    <row r="12" spans="1:8" s="26" customFormat="1" ht="22.5" x14ac:dyDescent="0.2">
      <c r="A12" s="185" t="s">
        <v>772</v>
      </c>
      <c r="B12" s="182" t="s">
        <v>773</v>
      </c>
      <c r="C12" s="186" t="s">
        <v>702</v>
      </c>
      <c r="D12" s="854">
        <v>-307614</v>
      </c>
      <c r="E12" s="187">
        <v>-232626</v>
      </c>
      <c r="F12" s="71"/>
      <c r="G12" s="854">
        <v>-209684</v>
      </c>
      <c r="H12" s="187">
        <v>-100535</v>
      </c>
    </row>
    <row r="13" spans="1:8" s="26" customFormat="1" ht="12" thickBot="1" x14ac:dyDescent="0.3">
      <c r="A13" s="199" t="s">
        <v>6</v>
      </c>
      <c r="B13" s="199" t="s">
        <v>198</v>
      </c>
      <c r="C13" s="200">
        <v>10</v>
      </c>
      <c r="D13" s="855">
        <v>-73681</v>
      </c>
      <c r="E13" s="201">
        <v>-63043</v>
      </c>
      <c r="F13" s="71"/>
      <c r="G13" s="855">
        <v>-60136</v>
      </c>
      <c r="H13" s="201">
        <v>-49649</v>
      </c>
    </row>
    <row r="14" spans="1:8" s="26" customFormat="1" ht="11.25" x14ac:dyDescent="0.25">
      <c r="A14" s="202" t="s">
        <v>7</v>
      </c>
      <c r="B14" s="202" t="s">
        <v>199</v>
      </c>
      <c r="C14" s="203"/>
      <c r="D14" s="856">
        <v>234082</v>
      </c>
      <c r="E14" s="204">
        <v>160773</v>
      </c>
      <c r="F14" s="71"/>
      <c r="G14" s="856">
        <v>177416</v>
      </c>
      <c r="H14" s="204">
        <v>141071</v>
      </c>
    </row>
    <row r="15" spans="1:8" s="26" customFormat="1" ht="11.25" x14ac:dyDescent="0.25">
      <c r="A15" s="182" t="s">
        <v>8</v>
      </c>
      <c r="B15" s="182" t="s">
        <v>200</v>
      </c>
      <c r="C15" s="189" t="s">
        <v>683</v>
      </c>
      <c r="D15" s="839">
        <v>1243</v>
      </c>
      <c r="E15" s="184">
        <v>2328</v>
      </c>
      <c r="F15" s="71"/>
      <c r="G15" s="839">
        <v>11433</v>
      </c>
      <c r="H15" s="184">
        <v>12958</v>
      </c>
    </row>
    <row r="16" spans="1:8" s="26" customFormat="1" ht="11.25" x14ac:dyDescent="0.25">
      <c r="A16" s="182" t="s">
        <v>9</v>
      </c>
      <c r="B16" s="182" t="s">
        <v>201</v>
      </c>
      <c r="C16" s="189" t="s">
        <v>682</v>
      </c>
      <c r="D16" s="839">
        <v>-11211</v>
      </c>
      <c r="E16" s="184">
        <v>-14156</v>
      </c>
      <c r="F16" s="71"/>
      <c r="G16" s="839">
        <v>-12054</v>
      </c>
      <c r="H16" s="184">
        <v>-14772</v>
      </c>
    </row>
    <row r="17" spans="1:8" s="26" customFormat="1" ht="12" thickBot="1" x14ac:dyDescent="0.3">
      <c r="A17" s="191" t="s">
        <v>1091</v>
      </c>
      <c r="B17" s="1165" t="s">
        <v>1448</v>
      </c>
      <c r="C17" s="192" t="s">
        <v>1447</v>
      </c>
      <c r="D17" s="857" t="s">
        <v>625</v>
      </c>
      <c r="E17" s="397" t="s">
        <v>625</v>
      </c>
      <c r="F17" s="71"/>
      <c r="G17" s="857">
        <v>9111</v>
      </c>
      <c r="H17" s="397">
        <v>17033</v>
      </c>
    </row>
    <row r="18" spans="1:8" s="26" customFormat="1" ht="11.25" x14ac:dyDescent="0.25">
      <c r="A18" s="202" t="s">
        <v>102</v>
      </c>
      <c r="B18" s="202" t="s">
        <v>232</v>
      </c>
      <c r="C18" s="203"/>
      <c r="D18" s="856">
        <v>224114</v>
      </c>
      <c r="E18" s="204">
        <v>148945</v>
      </c>
      <c r="F18" s="71"/>
      <c r="G18" s="856">
        <v>185906</v>
      </c>
      <c r="H18" s="204">
        <v>156290</v>
      </c>
    </row>
    <row r="19" spans="1:8" s="26" customFormat="1" ht="11.25" x14ac:dyDescent="0.25">
      <c r="A19" s="182" t="s">
        <v>10</v>
      </c>
      <c r="B19" s="182" t="s">
        <v>1683</v>
      </c>
      <c r="C19" s="189">
        <v>12</v>
      </c>
      <c r="D19" s="839">
        <v>-51199</v>
      </c>
      <c r="E19" s="184">
        <v>-23498</v>
      </c>
      <c r="F19" s="71"/>
      <c r="G19" s="839">
        <v>-45097</v>
      </c>
      <c r="H19" s="184">
        <v>-20331</v>
      </c>
    </row>
    <row r="20" spans="1:8" s="26" customFormat="1" ht="12" thickBot="1" x14ac:dyDescent="0.3">
      <c r="A20" s="199" t="s">
        <v>1688</v>
      </c>
      <c r="B20" s="199" t="s">
        <v>1078</v>
      </c>
      <c r="C20" s="200">
        <v>12</v>
      </c>
      <c r="D20" s="855" t="s">
        <v>1684</v>
      </c>
      <c r="E20" s="201">
        <v>5146</v>
      </c>
      <c r="F20" s="71"/>
      <c r="G20" s="855" t="s">
        <v>1685</v>
      </c>
      <c r="H20" s="201">
        <v>1482</v>
      </c>
    </row>
    <row r="21" spans="1:8" s="26" customFormat="1" ht="11.25" x14ac:dyDescent="0.25">
      <c r="A21" s="202" t="s">
        <v>11</v>
      </c>
      <c r="B21" s="202" t="s">
        <v>202</v>
      </c>
      <c r="C21" s="203"/>
      <c r="D21" s="856">
        <v>322021</v>
      </c>
      <c r="E21" s="204">
        <v>130593</v>
      </c>
      <c r="F21" s="71"/>
      <c r="G21" s="856">
        <v>150891</v>
      </c>
      <c r="H21" s="204">
        <v>137441</v>
      </c>
    </row>
    <row r="22" spans="1:8" s="26" customFormat="1" ht="24.75" customHeight="1" x14ac:dyDescent="0.2">
      <c r="A22" s="83" t="s">
        <v>12</v>
      </c>
      <c r="B22" s="83" t="s">
        <v>203</v>
      </c>
      <c r="C22" s="186"/>
      <c r="D22" s="896"/>
      <c r="E22" s="333"/>
      <c r="F22" s="1437"/>
      <c r="G22" s="896"/>
      <c r="H22" s="333"/>
    </row>
    <row r="23" spans="1:8" s="26" customFormat="1" ht="11.25" x14ac:dyDescent="0.25">
      <c r="A23" s="182" t="s">
        <v>848</v>
      </c>
      <c r="B23" s="182" t="s">
        <v>847</v>
      </c>
      <c r="C23" s="183"/>
      <c r="D23" s="839">
        <v>319670</v>
      </c>
      <c r="E23" s="184">
        <v>129045</v>
      </c>
      <c r="F23" s="71"/>
      <c r="G23" s="839">
        <v>150891</v>
      </c>
      <c r="H23" s="184">
        <v>137441</v>
      </c>
    </row>
    <row r="24" spans="1:8" s="26" customFormat="1" ht="11.25" x14ac:dyDescent="0.25">
      <c r="A24" s="182" t="s">
        <v>723</v>
      </c>
      <c r="B24" s="182" t="s">
        <v>722</v>
      </c>
      <c r="C24" s="183"/>
      <c r="D24" s="839">
        <v>2351</v>
      </c>
      <c r="E24" s="184">
        <v>1548</v>
      </c>
      <c r="F24" s="71"/>
      <c r="G24" s="839" t="s">
        <v>625</v>
      </c>
      <c r="H24" s="184" t="s">
        <v>625</v>
      </c>
    </row>
    <row r="25" spans="1:8" s="26" customFormat="1" ht="9.75" customHeight="1" x14ac:dyDescent="0.25">
      <c r="A25" s="191"/>
      <c r="B25" s="191"/>
      <c r="C25" s="192"/>
      <c r="D25" s="858"/>
      <c r="E25" s="96"/>
      <c r="F25" s="71"/>
      <c r="G25" s="858"/>
      <c r="H25" s="96"/>
    </row>
    <row r="26" spans="1:8" s="26" customFormat="1" ht="11.25" x14ac:dyDescent="0.25">
      <c r="A26" s="191" t="s">
        <v>561</v>
      </c>
      <c r="B26" s="191" t="s">
        <v>562</v>
      </c>
      <c r="C26" s="192" t="s">
        <v>724</v>
      </c>
      <c r="D26" s="859">
        <v>0.25</v>
      </c>
      <c r="E26" s="193">
        <v>0.1</v>
      </c>
      <c r="F26" s="71"/>
      <c r="G26" s="859">
        <v>0.11700000000000001</v>
      </c>
      <c r="H26" s="193">
        <v>0.107</v>
      </c>
    </row>
    <row r="27" spans="1:8" s="26" customFormat="1" ht="12" thickBot="1" x14ac:dyDescent="0.3">
      <c r="A27" s="194" t="s">
        <v>560</v>
      </c>
      <c r="B27" s="194" t="s">
        <v>563</v>
      </c>
      <c r="C27" s="195" t="s">
        <v>724</v>
      </c>
      <c r="D27" s="860">
        <v>0.25</v>
      </c>
      <c r="E27" s="196">
        <v>0.1</v>
      </c>
      <c r="F27" s="71"/>
      <c r="G27" s="860">
        <v>0.11700000000000001</v>
      </c>
      <c r="H27" s="196">
        <v>0.107</v>
      </c>
    </row>
    <row r="28" spans="1:8" ht="29.25" x14ac:dyDescent="0.25">
      <c r="A28" s="1438" t="s">
        <v>1686</v>
      </c>
      <c r="B28" s="1438" t="s">
        <v>1687</v>
      </c>
      <c r="D28" s="136"/>
      <c r="E28" s="136"/>
      <c r="G28" s="136"/>
      <c r="H28" s="136"/>
    </row>
    <row r="29" spans="1:8" x14ac:dyDescent="0.25">
      <c r="D29" s="136"/>
      <c r="E29" s="136"/>
      <c r="G29" s="136"/>
      <c r="H29" s="136"/>
    </row>
    <row r="30" spans="1:8" ht="15.75" x14ac:dyDescent="0.25">
      <c r="A30" s="59" t="s">
        <v>1695</v>
      </c>
      <c r="B30" s="59" t="s">
        <v>1089</v>
      </c>
    </row>
    <row r="31" spans="1:8" s="25" customFormat="1" ht="19.5" thickBot="1" x14ac:dyDescent="0.3">
      <c r="A31" s="1"/>
      <c r="B31" s="1"/>
      <c r="H31" s="703" t="s">
        <v>1</v>
      </c>
    </row>
    <row r="32" spans="1:8" s="25" customFormat="1" ht="18.75" customHeight="1" x14ac:dyDescent="0.25">
      <c r="A32" s="1470"/>
      <c r="B32" s="1470"/>
      <c r="C32" s="1468" t="s">
        <v>453</v>
      </c>
      <c r="D32" s="1467" t="s">
        <v>949</v>
      </c>
      <c r="E32" s="1467"/>
      <c r="F32" s="176"/>
      <c r="G32" s="1467" t="s">
        <v>1403</v>
      </c>
      <c r="H32" s="1467"/>
    </row>
    <row r="33" spans="1:8" ht="15.75" thickBot="1" x14ac:dyDescent="0.3">
      <c r="A33" s="1471"/>
      <c r="B33" s="1471"/>
      <c r="C33" s="1469"/>
      <c r="D33" s="1219">
        <v>2017</v>
      </c>
      <c r="E33" s="1220">
        <v>2016</v>
      </c>
      <c r="F33" s="1412"/>
      <c r="G33" s="1219">
        <v>2017</v>
      </c>
      <c r="H33" s="1220">
        <v>2016</v>
      </c>
    </row>
    <row r="34" spans="1:8" s="26" customFormat="1" ht="11.25" x14ac:dyDescent="0.25">
      <c r="A34" s="141"/>
      <c r="B34" s="141"/>
      <c r="C34" s="81"/>
      <c r="D34" s="861"/>
      <c r="E34" s="140"/>
      <c r="G34" s="861"/>
      <c r="H34" s="140"/>
    </row>
    <row r="35" spans="1:8" s="26" customFormat="1" ht="11.25" x14ac:dyDescent="0.25">
      <c r="A35" s="214" t="s">
        <v>11</v>
      </c>
      <c r="B35" s="214" t="s">
        <v>202</v>
      </c>
      <c r="C35" s="215"/>
      <c r="D35" s="862">
        <v>322021</v>
      </c>
      <c r="E35" s="216">
        <v>130593</v>
      </c>
      <c r="F35" s="71"/>
      <c r="G35" s="862">
        <v>150891</v>
      </c>
      <c r="H35" s="1166">
        <v>137441</v>
      </c>
    </row>
    <row r="36" spans="1:8" s="26" customFormat="1" ht="11.25" x14ac:dyDescent="0.25">
      <c r="A36" s="206"/>
      <c r="B36" s="182"/>
      <c r="C36" s="183"/>
      <c r="D36" s="863"/>
      <c r="E36" s="183"/>
      <c r="F36" s="71"/>
      <c r="G36" s="863"/>
      <c r="H36" s="183"/>
    </row>
    <row r="37" spans="1:8" s="26" customFormat="1" ht="22.5" x14ac:dyDescent="0.25">
      <c r="A37" s="225" t="s">
        <v>1694</v>
      </c>
      <c r="B37" s="225" t="s">
        <v>1081</v>
      </c>
      <c r="C37" s="200"/>
      <c r="D37" s="864"/>
      <c r="E37" s="200"/>
      <c r="F37" s="71"/>
      <c r="G37" s="864"/>
      <c r="H37" s="200"/>
    </row>
    <row r="38" spans="1:8" s="26" customFormat="1" ht="11.25" customHeight="1" thickBot="1" x14ac:dyDescent="0.25">
      <c r="A38" s="230" t="s">
        <v>850</v>
      </c>
      <c r="B38" s="231" t="s">
        <v>849</v>
      </c>
      <c r="C38" s="232" t="s">
        <v>720</v>
      </c>
      <c r="D38" s="865">
        <v>5422</v>
      </c>
      <c r="E38" s="233">
        <v>2847</v>
      </c>
      <c r="F38" s="71"/>
      <c r="G38" s="865">
        <v>5422</v>
      </c>
      <c r="H38" s="233">
        <v>2847</v>
      </c>
    </row>
    <row r="39" spans="1:8" s="26" customFormat="1" ht="23.25" customHeight="1" x14ac:dyDescent="0.2">
      <c r="A39" s="224" t="s">
        <v>1693</v>
      </c>
      <c r="B39" s="224" t="s">
        <v>1082</v>
      </c>
      <c r="C39" s="221"/>
      <c r="D39" s="866">
        <v>5422</v>
      </c>
      <c r="E39" s="222">
        <v>2847</v>
      </c>
      <c r="F39" s="71"/>
      <c r="G39" s="866">
        <v>5422</v>
      </c>
      <c r="H39" s="222">
        <v>2847</v>
      </c>
    </row>
    <row r="40" spans="1:8" s="26" customFormat="1" ht="11.25" x14ac:dyDescent="0.25">
      <c r="A40" s="206"/>
      <c r="B40" s="182"/>
      <c r="C40" s="183"/>
      <c r="D40" s="780"/>
      <c r="E40" s="190"/>
      <c r="F40" s="71"/>
      <c r="G40" s="780"/>
      <c r="H40" s="190"/>
    </row>
    <row r="41" spans="1:8" s="26" customFormat="1" ht="22.5" x14ac:dyDescent="0.25">
      <c r="A41" s="225" t="s">
        <v>1692</v>
      </c>
      <c r="B41" s="225" t="s">
        <v>1083</v>
      </c>
      <c r="C41" s="200"/>
      <c r="D41" s="782"/>
      <c r="E41" s="226"/>
      <c r="F41" s="71"/>
      <c r="G41" s="782"/>
      <c r="H41" s="226"/>
    </row>
    <row r="42" spans="1:8" s="26" customFormat="1" ht="11.25" x14ac:dyDescent="0.2">
      <c r="A42" s="179" t="s">
        <v>13</v>
      </c>
      <c r="B42" s="179" t="s">
        <v>204</v>
      </c>
      <c r="C42" s="227" t="s">
        <v>711</v>
      </c>
      <c r="D42" s="865">
        <v>18842</v>
      </c>
      <c r="E42" s="229">
        <v>269485</v>
      </c>
      <c r="F42" s="71"/>
      <c r="G42" s="865">
        <v>18842</v>
      </c>
      <c r="H42" s="229" t="s">
        <v>625</v>
      </c>
    </row>
    <row r="43" spans="1:8" s="26" customFormat="1" ht="22.5" x14ac:dyDescent="0.2">
      <c r="A43" s="185" t="s">
        <v>1079</v>
      </c>
      <c r="B43" s="182" t="s">
        <v>1080</v>
      </c>
      <c r="C43" s="186" t="s">
        <v>721</v>
      </c>
      <c r="D43" s="854">
        <v>3460</v>
      </c>
      <c r="E43" s="187">
        <v>-2308</v>
      </c>
      <c r="F43" s="71"/>
      <c r="G43" s="854">
        <v>1053</v>
      </c>
      <c r="H43" s="187">
        <v>-890</v>
      </c>
    </row>
    <row r="44" spans="1:8" s="26" customFormat="1" ht="12" thickBot="1" x14ac:dyDescent="0.25">
      <c r="A44" s="231" t="s">
        <v>1113</v>
      </c>
      <c r="B44" s="191" t="s">
        <v>1449</v>
      </c>
      <c r="C44" s="232">
        <v>12</v>
      </c>
      <c r="D44" s="865">
        <v>169978</v>
      </c>
      <c r="E44" s="233" t="s">
        <v>625</v>
      </c>
      <c r="F44" s="71"/>
      <c r="G44" s="865">
        <v>119503</v>
      </c>
      <c r="H44" s="233" t="s">
        <v>625</v>
      </c>
    </row>
    <row r="45" spans="1:8" s="26" customFormat="1" ht="23.25" customHeight="1" x14ac:dyDescent="0.2">
      <c r="A45" s="220" t="s">
        <v>1691</v>
      </c>
      <c r="B45" s="220" t="s">
        <v>1084</v>
      </c>
      <c r="C45" s="221"/>
      <c r="D45" s="866">
        <v>192280</v>
      </c>
      <c r="E45" s="222">
        <v>267177</v>
      </c>
      <c r="F45" s="71"/>
      <c r="G45" s="866">
        <v>139398</v>
      </c>
      <c r="H45" s="222">
        <v>-890</v>
      </c>
    </row>
    <row r="46" spans="1:8" s="26" customFormat="1" ht="23.25" customHeight="1" x14ac:dyDescent="0.2">
      <c r="A46" s="207" t="s">
        <v>1690</v>
      </c>
      <c r="B46" s="207" t="s">
        <v>1085</v>
      </c>
      <c r="C46" s="84"/>
      <c r="D46" s="869">
        <v>197702</v>
      </c>
      <c r="E46" s="208">
        <v>270024</v>
      </c>
      <c r="F46" s="71"/>
      <c r="G46" s="869">
        <v>144820</v>
      </c>
      <c r="H46" s="208">
        <v>1957</v>
      </c>
    </row>
    <row r="47" spans="1:8" s="71" customFormat="1" ht="13.7" customHeight="1" x14ac:dyDescent="0.2">
      <c r="A47" s="83"/>
      <c r="B47" s="83"/>
      <c r="C47" s="84"/>
      <c r="D47" s="870"/>
      <c r="E47" s="209"/>
      <c r="G47" s="870"/>
      <c r="H47" s="209"/>
    </row>
    <row r="48" spans="1:8" s="26" customFormat="1" ht="12.75" customHeight="1" thickBot="1" x14ac:dyDescent="0.25">
      <c r="A48" s="211" t="s">
        <v>1689</v>
      </c>
      <c r="B48" s="211" t="s">
        <v>1086</v>
      </c>
      <c r="C48" s="212"/>
      <c r="D48" s="871">
        <v>519723</v>
      </c>
      <c r="E48" s="213">
        <v>400617</v>
      </c>
      <c r="F48" s="71"/>
      <c r="G48" s="871">
        <v>295711</v>
      </c>
      <c r="H48" s="213">
        <v>139398</v>
      </c>
    </row>
    <row r="49" spans="1:8" s="26" customFormat="1" ht="20.25" customHeight="1" x14ac:dyDescent="0.2">
      <c r="A49" s="237" t="s">
        <v>14</v>
      </c>
      <c r="B49" s="237" t="s">
        <v>205</v>
      </c>
      <c r="C49" s="119"/>
      <c r="D49" s="872"/>
      <c r="E49" s="73"/>
      <c r="F49" s="238"/>
      <c r="G49" s="875"/>
      <c r="H49" s="239"/>
    </row>
    <row r="50" spans="1:8" s="26" customFormat="1" ht="11.25" x14ac:dyDescent="0.2">
      <c r="A50" s="240" t="s">
        <v>848</v>
      </c>
      <c r="B50" s="240" t="s">
        <v>847</v>
      </c>
      <c r="C50" s="241"/>
      <c r="D50" s="873">
        <v>517372</v>
      </c>
      <c r="E50" s="242">
        <v>399069</v>
      </c>
      <c r="F50" s="243"/>
      <c r="G50" s="873">
        <v>295711</v>
      </c>
      <c r="H50" s="242">
        <v>139398</v>
      </c>
    </row>
    <row r="51" spans="1:8" s="26" customFormat="1" ht="12" thickBot="1" x14ac:dyDescent="0.25">
      <c r="A51" s="234" t="s">
        <v>723</v>
      </c>
      <c r="B51" s="234" t="s">
        <v>722</v>
      </c>
      <c r="C51" s="235"/>
      <c r="D51" s="874">
        <v>2351</v>
      </c>
      <c r="E51" s="236">
        <v>1548</v>
      </c>
      <c r="F51" s="71"/>
      <c r="G51" s="874" t="s">
        <v>625</v>
      </c>
      <c r="H51" s="236" t="s">
        <v>625</v>
      </c>
    </row>
  </sheetData>
  <sheetProtection algorithmName="SHA-512" hashValue="/+q+dSb3Og2xyA/9V3KTgLRCPyj+SVGAWAn95oY4YdELQrD8Lci1rbD4AEwuk5X4QayhO6Vvf3hnwsxanFnciQ==" saltValue="r99q+uxQY8tIpBCp7yQxeg==" spinCount="100000" sheet="1" objects="1" scenarios="1"/>
  <mergeCells count="10">
    <mergeCell ref="A32:A33"/>
    <mergeCell ref="B32:B33"/>
    <mergeCell ref="C32:C33"/>
    <mergeCell ref="D32:E32"/>
    <mergeCell ref="G32:H32"/>
    <mergeCell ref="D5:E5"/>
    <mergeCell ref="G5:H5"/>
    <mergeCell ref="C5:C6"/>
    <mergeCell ref="A5:A6"/>
    <mergeCell ref="B5:B6"/>
  </mergeCells>
  <pageMargins left="0.98425196850393704" right="0" top="0.15748031496062992" bottom="0" header="0.31496062992125984" footer="0.31496062992125984"/>
  <pageSetup paperSize="9" scale="8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85"/>
  <sheetViews>
    <sheetView showGridLines="0" zoomScaleNormal="100" workbookViewId="0">
      <pane ySplit="5" topLeftCell="A6" activePane="bottomLeft" state="frozen"/>
      <selection pane="bottomLeft" activeCell="A6" sqref="A6"/>
    </sheetView>
  </sheetViews>
  <sheetFormatPr defaultColWidth="9.140625" defaultRowHeight="14.25" outlineLevelRow="1" outlineLevelCol="1" x14ac:dyDescent="0.2"/>
  <cols>
    <col min="1" max="1" width="49.5703125" style="592" customWidth="1"/>
    <col min="2" max="2" width="49.5703125" style="592" customWidth="1" outlineLevel="1"/>
    <col min="3" max="3" width="11.5703125" style="591" customWidth="1"/>
    <col min="4" max="4" width="14.5703125" style="591" customWidth="1"/>
    <col min="5" max="5" width="15.7109375" style="591" customWidth="1"/>
    <col min="6" max="6" width="14.85546875" style="591" customWidth="1"/>
    <col min="7" max="8" width="12.28515625" style="591" customWidth="1"/>
    <col min="9" max="9" width="13.5703125" style="591" customWidth="1"/>
    <col min="10" max="10" width="14.85546875" style="591" customWidth="1"/>
    <col min="11" max="11" width="13.7109375" style="591" customWidth="1"/>
    <col min="12" max="12" width="10.7109375" style="591" customWidth="1"/>
    <col min="13" max="16384" width="9.140625" style="591"/>
  </cols>
  <sheetData>
    <row r="1" spans="1:12" ht="15" x14ac:dyDescent="0.2">
      <c r="A1" s="510" t="s">
        <v>967</v>
      </c>
      <c r="B1" s="510" t="s">
        <v>968</v>
      </c>
    </row>
    <row r="2" spans="1:12" ht="15" x14ac:dyDescent="0.2">
      <c r="A2" s="510" t="s">
        <v>970</v>
      </c>
      <c r="B2" s="510" t="s">
        <v>969</v>
      </c>
    </row>
    <row r="4" spans="1:12" ht="15.75" x14ac:dyDescent="0.2">
      <c r="A4" s="593" t="s">
        <v>507</v>
      </c>
      <c r="B4" s="593" t="s">
        <v>1617</v>
      </c>
      <c r="C4" s="28"/>
      <c r="D4" s="28"/>
    </row>
    <row r="6" spans="1:12" ht="26.45" customHeight="1" x14ac:dyDescent="0.2">
      <c r="A6" s="594" t="s">
        <v>1565</v>
      </c>
      <c r="B6" s="595" t="s">
        <v>1566</v>
      </c>
      <c r="C6" s="596"/>
      <c r="D6" s="596"/>
      <c r="E6" s="596"/>
      <c r="F6" s="596"/>
      <c r="G6" s="596"/>
      <c r="H6" s="596"/>
      <c r="I6" s="596"/>
      <c r="J6" s="596"/>
      <c r="K6" s="596"/>
    </row>
    <row r="7" spans="1:12" ht="19.5" customHeight="1" x14ac:dyDescent="0.2">
      <c r="L7" s="1208" t="s">
        <v>1</v>
      </c>
    </row>
    <row r="8" spans="1:12" ht="5.25" customHeight="1" thickBot="1" x14ac:dyDescent="0.25"/>
    <row r="9" spans="1:12" ht="15.75" customHeight="1" thickBot="1" x14ac:dyDescent="0.3">
      <c r="A9" s="622"/>
      <c r="B9" s="622"/>
      <c r="C9" s="623"/>
      <c r="D9" s="1603" t="s">
        <v>949</v>
      </c>
      <c r="E9" s="1603"/>
      <c r="F9" s="1603"/>
      <c r="G9" s="1603"/>
      <c r="I9" s="1606" t="s">
        <v>1403</v>
      </c>
      <c r="J9" s="1606"/>
      <c r="K9" s="1606"/>
      <c r="L9" s="1606"/>
    </row>
    <row r="10" spans="1:12" ht="15.75" customHeight="1" thickBot="1" x14ac:dyDescent="0.25">
      <c r="A10" s="1591"/>
      <c r="B10" s="597"/>
      <c r="C10" s="1592" t="s">
        <v>414</v>
      </c>
      <c r="D10" s="1604" t="s">
        <v>415</v>
      </c>
      <c r="E10" s="1604"/>
      <c r="F10" s="1604"/>
      <c r="G10" s="1604"/>
      <c r="I10" s="1604" t="s">
        <v>415</v>
      </c>
      <c r="J10" s="1604"/>
      <c r="K10" s="1604"/>
      <c r="L10" s="1604"/>
    </row>
    <row r="11" spans="1:12" ht="45.75" customHeight="1" x14ac:dyDescent="0.2">
      <c r="A11" s="1591"/>
      <c r="B11" s="597"/>
      <c r="C11" s="1592"/>
      <c r="D11" s="1253" t="s">
        <v>416</v>
      </c>
      <c r="E11" s="1254" t="s">
        <v>418</v>
      </c>
      <c r="F11" s="496" t="s">
        <v>509</v>
      </c>
      <c r="G11" s="1605" t="s">
        <v>50</v>
      </c>
      <c r="I11" s="1253" t="s">
        <v>416</v>
      </c>
      <c r="J11" s="268" t="s">
        <v>418</v>
      </c>
      <c r="K11" s="496" t="s">
        <v>509</v>
      </c>
      <c r="L11" s="1605" t="s">
        <v>50</v>
      </c>
    </row>
    <row r="12" spans="1:12" ht="15" thickBot="1" x14ac:dyDescent="0.25">
      <c r="A12" s="1591"/>
      <c r="B12" s="597"/>
      <c r="C12" s="1593"/>
      <c r="D12" s="497" t="s">
        <v>417</v>
      </c>
      <c r="E12" s="497" t="s">
        <v>419</v>
      </c>
      <c r="F12" s="497" t="s">
        <v>508</v>
      </c>
      <c r="G12" s="1599"/>
      <c r="I12" s="497" t="s">
        <v>417</v>
      </c>
      <c r="J12" s="497" t="s">
        <v>419</v>
      </c>
      <c r="K12" s="497" t="s">
        <v>508</v>
      </c>
      <c r="L12" s="1599"/>
    </row>
    <row r="13" spans="1:12" ht="15.75" customHeight="1" outlineLevel="1" thickBot="1" x14ac:dyDescent="0.25">
      <c r="A13" s="1591"/>
      <c r="B13" s="597"/>
      <c r="C13" s="1598" t="s">
        <v>443</v>
      </c>
      <c r="D13" s="1487" t="s">
        <v>444</v>
      </c>
      <c r="E13" s="1487"/>
      <c r="F13" s="1487"/>
      <c r="G13" s="1487"/>
      <c r="I13" s="1487" t="s">
        <v>444</v>
      </c>
      <c r="J13" s="1487"/>
      <c r="K13" s="1487"/>
      <c r="L13" s="1487"/>
    </row>
    <row r="14" spans="1:12" ht="33.75" outlineLevel="1" x14ac:dyDescent="0.2">
      <c r="A14" s="1591"/>
      <c r="B14" s="597"/>
      <c r="C14" s="1598"/>
      <c r="D14" s="1253" t="s">
        <v>445</v>
      </c>
      <c r="E14" s="1254" t="s">
        <v>447</v>
      </c>
      <c r="F14" s="268" t="s">
        <v>449</v>
      </c>
      <c r="G14" s="1605" t="s">
        <v>277</v>
      </c>
      <c r="I14" s="496" t="s">
        <v>445</v>
      </c>
      <c r="J14" s="268" t="s">
        <v>447</v>
      </c>
      <c r="K14" s="268" t="s">
        <v>449</v>
      </c>
      <c r="L14" s="1605" t="s">
        <v>277</v>
      </c>
    </row>
    <row r="15" spans="1:12" ht="15" outlineLevel="1" thickBot="1" x14ac:dyDescent="0.25">
      <c r="A15" s="1591"/>
      <c r="B15" s="597"/>
      <c r="C15" s="1599"/>
      <c r="D15" s="497" t="s">
        <v>446</v>
      </c>
      <c r="E15" s="497" t="s">
        <v>448</v>
      </c>
      <c r="F15" s="497" t="s">
        <v>450</v>
      </c>
      <c r="G15" s="1599"/>
      <c r="I15" s="497" t="s">
        <v>446</v>
      </c>
      <c r="J15" s="497" t="s">
        <v>448</v>
      </c>
      <c r="K15" s="497" t="s">
        <v>450</v>
      </c>
      <c r="L15" s="1599"/>
    </row>
    <row r="16" spans="1:12" x14ac:dyDescent="0.2">
      <c r="A16" s="597"/>
      <c r="B16" s="597"/>
      <c r="C16" s="598"/>
      <c r="D16" s="95"/>
      <c r="E16" s="95"/>
      <c r="F16" s="95"/>
      <c r="G16" s="106"/>
      <c r="I16" s="95"/>
      <c r="J16" s="95"/>
      <c r="K16" s="95"/>
      <c r="L16" s="106"/>
    </row>
    <row r="17" spans="1:19" ht="15" thickBot="1" x14ac:dyDescent="0.25">
      <c r="A17" s="599" t="s">
        <v>420</v>
      </c>
      <c r="B17" s="600" t="s">
        <v>433</v>
      </c>
      <c r="C17" s="330"/>
      <c r="D17" s="95"/>
      <c r="E17" s="95"/>
      <c r="F17" s="95"/>
      <c r="G17" s="106"/>
      <c r="I17" s="95"/>
      <c r="J17" s="95"/>
      <c r="K17" s="95"/>
      <c r="L17" s="106"/>
    </row>
    <row r="18" spans="1:19" x14ac:dyDescent="0.2">
      <c r="A18" s="1589" t="s">
        <v>1344</v>
      </c>
      <c r="B18" s="1589" t="s">
        <v>796</v>
      </c>
      <c r="C18" s="1238">
        <v>43100</v>
      </c>
      <c r="D18" s="1239" t="s">
        <v>572</v>
      </c>
      <c r="E18" s="1239" t="s">
        <v>572</v>
      </c>
      <c r="F18" s="1240">
        <v>2587252</v>
      </c>
      <c r="G18" s="996">
        <v>2587252</v>
      </c>
      <c r="H18" s="1234"/>
      <c r="I18" s="1239" t="s">
        <v>572</v>
      </c>
      <c r="J18" s="1239" t="s">
        <v>572</v>
      </c>
      <c r="K18" s="1240">
        <v>722599</v>
      </c>
      <c r="L18" s="996">
        <v>722599</v>
      </c>
    </row>
    <row r="19" spans="1:19" ht="15" customHeight="1" thickBot="1" x14ac:dyDescent="0.25">
      <c r="A19" s="1590"/>
      <c r="B19" s="1590"/>
      <c r="C19" s="602">
        <v>42735</v>
      </c>
      <c r="D19" s="1085" t="s">
        <v>572</v>
      </c>
      <c r="E19" s="1085" t="s">
        <v>572</v>
      </c>
      <c r="F19" s="138">
        <v>2576162</v>
      </c>
      <c r="G19" s="1086">
        <v>2576162</v>
      </c>
      <c r="H19" s="1234"/>
      <c r="I19" s="1085" t="s">
        <v>572</v>
      </c>
      <c r="J19" s="1085" t="s">
        <v>572</v>
      </c>
      <c r="K19" s="138">
        <v>709828</v>
      </c>
      <c r="L19" s="1086">
        <v>709828</v>
      </c>
    </row>
    <row r="20" spans="1:19" ht="15.75" customHeight="1" x14ac:dyDescent="0.2">
      <c r="A20" s="604" t="s">
        <v>421</v>
      </c>
      <c r="B20" s="604" t="s">
        <v>434</v>
      </c>
      <c r="C20" s="601"/>
      <c r="D20" s="1088"/>
      <c r="E20" s="1088"/>
      <c r="F20" s="137"/>
      <c r="G20" s="1001"/>
      <c r="H20" s="1234"/>
      <c r="I20" s="1083"/>
      <c r="J20" s="1083"/>
      <c r="K20" s="1069"/>
      <c r="L20" s="1084"/>
    </row>
    <row r="21" spans="1:19" x14ac:dyDescent="0.2">
      <c r="A21" s="1594" t="s">
        <v>934</v>
      </c>
      <c r="B21" s="1596" t="s">
        <v>932</v>
      </c>
      <c r="C21" s="1241">
        <v>43100</v>
      </c>
      <c r="D21" s="1242" t="s">
        <v>572</v>
      </c>
      <c r="E21" s="867">
        <v>4588</v>
      </c>
      <c r="F21" s="1242" t="s">
        <v>572</v>
      </c>
      <c r="G21" s="976">
        <v>4588</v>
      </c>
      <c r="H21" s="1234"/>
      <c r="I21" s="1242" t="s">
        <v>572</v>
      </c>
      <c r="J21" s="867">
        <v>4588</v>
      </c>
      <c r="K21" s="1242" t="s">
        <v>572</v>
      </c>
      <c r="L21" s="976">
        <v>4588</v>
      </c>
    </row>
    <row r="22" spans="1:19" ht="15" customHeight="1" thickBot="1" x14ac:dyDescent="0.25">
      <c r="A22" s="1595"/>
      <c r="B22" s="1597"/>
      <c r="C22" s="602">
        <v>42735</v>
      </c>
      <c r="D22" s="1085" t="s">
        <v>572</v>
      </c>
      <c r="E22" s="138">
        <v>6134</v>
      </c>
      <c r="F22" s="1085" t="s">
        <v>572</v>
      </c>
      <c r="G22" s="1086">
        <v>6134</v>
      </c>
      <c r="H22" s="1234"/>
      <c r="I22" s="1085" t="s">
        <v>572</v>
      </c>
      <c r="J22" s="138">
        <v>6134</v>
      </c>
      <c r="K22" s="1085" t="s">
        <v>572</v>
      </c>
      <c r="L22" s="1086">
        <v>6134</v>
      </c>
    </row>
    <row r="23" spans="1:19" ht="15" customHeight="1" x14ac:dyDescent="0.2">
      <c r="A23" s="1589" t="s">
        <v>935</v>
      </c>
      <c r="B23" s="1589" t="s">
        <v>936</v>
      </c>
      <c r="C23" s="1241">
        <v>43100</v>
      </c>
      <c r="D23" s="1239" t="s">
        <v>572</v>
      </c>
      <c r="E23" s="867">
        <v>31.016999999999999</v>
      </c>
      <c r="F23" s="1239" t="s">
        <v>572</v>
      </c>
      <c r="G23" s="976">
        <v>31.016999999999999</v>
      </c>
      <c r="H23" s="1234"/>
      <c r="I23" s="1239" t="s">
        <v>572</v>
      </c>
      <c r="J23" s="867">
        <v>31.016999999999999</v>
      </c>
      <c r="K23" s="1239" t="s">
        <v>572</v>
      </c>
      <c r="L23" s="976">
        <v>31.016999999999999</v>
      </c>
    </row>
    <row r="24" spans="1:19" ht="15" customHeight="1" thickBot="1" x14ac:dyDescent="0.25">
      <c r="A24" s="1590"/>
      <c r="B24" s="1590"/>
      <c r="C24" s="602">
        <v>42735</v>
      </c>
      <c r="D24" s="1085" t="s">
        <v>572</v>
      </c>
      <c r="E24" s="1085" t="s">
        <v>572</v>
      </c>
      <c r="F24" s="1085" t="s">
        <v>572</v>
      </c>
      <c r="G24" s="1085" t="s">
        <v>572</v>
      </c>
      <c r="H24" s="1234"/>
      <c r="I24" s="1085" t="s">
        <v>572</v>
      </c>
      <c r="J24" s="1085" t="s">
        <v>572</v>
      </c>
      <c r="K24" s="1085" t="s">
        <v>572</v>
      </c>
      <c r="L24" s="1085" t="s">
        <v>572</v>
      </c>
    </row>
    <row r="25" spans="1:19" ht="15.75" x14ac:dyDescent="0.2">
      <c r="A25" s="330"/>
      <c r="B25" s="330"/>
      <c r="C25" s="330"/>
      <c r="D25" s="1235"/>
      <c r="E25" s="1235"/>
      <c r="F25" s="1235"/>
      <c r="G25" s="1236"/>
      <c r="H25" s="1234"/>
      <c r="I25" s="1235"/>
      <c r="J25" s="1235"/>
      <c r="K25" s="1235"/>
      <c r="L25" s="1236"/>
      <c r="S25" s="1087"/>
    </row>
    <row r="26" spans="1:19" ht="16.5" thickBot="1" x14ac:dyDescent="0.25">
      <c r="A26" s="599" t="s">
        <v>423</v>
      </c>
      <c r="B26" s="599" t="s">
        <v>436</v>
      </c>
      <c r="C26" s="330"/>
      <c r="D26" s="1235"/>
      <c r="E26" s="1235"/>
      <c r="F26" s="1235"/>
      <c r="G26" s="1236"/>
      <c r="H26" s="1234"/>
      <c r="I26" s="1235"/>
      <c r="J26" s="1235"/>
      <c r="K26" s="1235"/>
      <c r="L26" s="1236"/>
      <c r="S26" s="1087"/>
    </row>
    <row r="27" spans="1:19" ht="15.75" x14ac:dyDescent="0.2">
      <c r="A27" s="1589" t="s">
        <v>933</v>
      </c>
      <c r="B27" s="1589" t="s">
        <v>931</v>
      </c>
      <c r="C27" s="1238">
        <v>43100</v>
      </c>
      <c r="D27" s="1239"/>
      <c r="E27" s="1240">
        <v>21092.473701887669</v>
      </c>
      <c r="F27" s="1239" t="s">
        <v>572</v>
      </c>
      <c r="G27" s="996">
        <v>21092.473701887669</v>
      </c>
      <c r="H27" s="1234"/>
      <c r="I27" s="1239" t="s">
        <v>572</v>
      </c>
      <c r="J27" s="1240">
        <v>21092.473701887669</v>
      </c>
      <c r="K27" s="1239" t="s">
        <v>572</v>
      </c>
      <c r="L27" s="996">
        <v>21092.473701887669</v>
      </c>
      <c r="S27" s="1087"/>
    </row>
    <row r="28" spans="1:19" ht="15" customHeight="1" thickBot="1" x14ac:dyDescent="0.25">
      <c r="A28" s="1590"/>
      <c r="B28" s="1590"/>
      <c r="C28" s="602">
        <v>42735</v>
      </c>
      <c r="D28" s="1085" t="s">
        <v>572</v>
      </c>
      <c r="E28" s="138">
        <v>25545</v>
      </c>
      <c r="F28" s="138" t="s">
        <v>572</v>
      </c>
      <c r="G28" s="1086">
        <v>25545</v>
      </c>
      <c r="H28" s="1234"/>
      <c r="I28" s="1085" t="s">
        <v>572</v>
      </c>
      <c r="J28" s="138">
        <v>25545</v>
      </c>
      <c r="K28" s="1085" t="s">
        <v>572</v>
      </c>
      <c r="L28" s="1086">
        <v>25545</v>
      </c>
      <c r="S28" s="1087"/>
    </row>
    <row r="29" spans="1:19" x14ac:dyDescent="0.2">
      <c r="A29" s="1589" t="s">
        <v>1340</v>
      </c>
      <c r="B29" s="1589" t="s">
        <v>1342</v>
      </c>
      <c r="C29" s="1238">
        <v>43100</v>
      </c>
      <c r="D29" s="1239" t="s">
        <v>572</v>
      </c>
      <c r="E29" s="1240" t="s">
        <v>572</v>
      </c>
      <c r="F29" s="1239" t="s">
        <v>572</v>
      </c>
      <c r="G29" s="996" t="s">
        <v>572</v>
      </c>
      <c r="H29" s="1234"/>
      <c r="I29" s="1239" t="s">
        <v>572</v>
      </c>
      <c r="J29" s="1243">
        <v>103928</v>
      </c>
      <c r="K29" s="1239" t="s">
        <v>572</v>
      </c>
      <c r="L29" s="996">
        <v>103928</v>
      </c>
    </row>
    <row r="30" spans="1:19" ht="15" customHeight="1" thickBot="1" x14ac:dyDescent="0.25">
      <c r="A30" s="1590"/>
      <c r="B30" s="1590"/>
      <c r="C30" s="602">
        <v>42735</v>
      </c>
      <c r="D30" s="1085" t="s">
        <v>572</v>
      </c>
      <c r="E30" s="138" t="s">
        <v>572</v>
      </c>
      <c r="F30" s="138" t="s">
        <v>572</v>
      </c>
      <c r="G30" s="1086" t="s">
        <v>572</v>
      </c>
      <c r="H30" s="1234"/>
      <c r="I30" s="1085" t="s">
        <v>572</v>
      </c>
      <c r="J30" s="1237">
        <v>100872</v>
      </c>
      <c r="K30" s="1085" t="s">
        <v>572</v>
      </c>
      <c r="L30" s="1086">
        <v>100872</v>
      </c>
    </row>
    <row r="31" spans="1:19" x14ac:dyDescent="0.2">
      <c r="A31" s="1589" t="s">
        <v>1341</v>
      </c>
      <c r="B31" s="1589" t="s">
        <v>1343</v>
      </c>
      <c r="C31" s="1238">
        <v>43100</v>
      </c>
      <c r="D31" s="1239" t="s">
        <v>572</v>
      </c>
      <c r="E31" s="1240" t="s">
        <v>572</v>
      </c>
      <c r="F31" s="1239" t="s">
        <v>572</v>
      </c>
      <c r="G31" s="996" t="s">
        <v>572</v>
      </c>
      <c r="H31" s="1234"/>
      <c r="I31" s="1239" t="s">
        <v>572</v>
      </c>
      <c r="J31" s="1243">
        <v>394215</v>
      </c>
      <c r="K31" s="1239" t="s">
        <v>572</v>
      </c>
      <c r="L31" s="996">
        <v>394215</v>
      </c>
    </row>
    <row r="32" spans="1:19" ht="15" customHeight="1" thickBot="1" x14ac:dyDescent="0.25">
      <c r="A32" s="1590"/>
      <c r="B32" s="1590"/>
      <c r="C32" s="602">
        <v>42735</v>
      </c>
      <c r="D32" s="1085" t="s">
        <v>572</v>
      </c>
      <c r="E32" s="138" t="s">
        <v>572</v>
      </c>
      <c r="F32" s="138" t="s">
        <v>572</v>
      </c>
      <c r="G32" s="1086" t="s">
        <v>572</v>
      </c>
      <c r="H32" s="1234"/>
      <c r="I32" s="1085" t="s">
        <v>572</v>
      </c>
      <c r="J32" s="138">
        <v>350398</v>
      </c>
      <c r="K32" s="1085" t="s">
        <v>572</v>
      </c>
      <c r="L32" s="1086">
        <v>350398</v>
      </c>
    </row>
    <row r="37" spans="1:12" ht="26.45" customHeight="1" x14ac:dyDescent="0.2">
      <c r="A37" s="607" t="s">
        <v>1563</v>
      </c>
      <c r="B37" s="608" t="s">
        <v>1564</v>
      </c>
      <c r="C37" s="596"/>
      <c r="D37" s="596"/>
      <c r="E37" s="596"/>
      <c r="F37" s="596"/>
      <c r="G37" s="596"/>
      <c r="H37" s="596"/>
      <c r="I37" s="596"/>
      <c r="J37" s="596"/>
      <c r="K37" s="596"/>
      <c r="L37" s="1208" t="s">
        <v>1</v>
      </c>
    </row>
    <row r="38" spans="1:12" ht="5.25" customHeight="1" thickBot="1" x14ac:dyDescent="0.25"/>
    <row r="39" spans="1:12" ht="15.75" customHeight="1" thickBot="1" x14ac:dyDescent="0.3">
      <c r="A39" s="622"/>
      <c r="B39" s="622"/>
      <c r="C39" s="623"/>
      <c r="D39" s="1603" t="s">
        <v>949</v>
      </c>
      <c r="E39" s="1603"/>
      <c r="F39" s="1603"/>
      <c r="G39" s="1603"/>
      <c r="H39" s="1252"/>
      <c r="I39" s="1606" t="s">
        <v>1403</v>
      </c>
      <c r="J39" s="1606"/>
      <c r="K39" s="1606"/>
      <c r="L39" s="1606"/>
    </row>
    <row r="40" spans="1:12" ht="15.75" customHeight="1" thickBot="1" x14ac:dyDescent="0.25">
      <c r="A40" s="1591"/>
      <c r="B40" s="597"/>
      <c r="C40" s="1592" t="s">
        <v>414</v>
      </c>
      <c r="D40" s="1604" t="s">
        <v>415</v>
      </c>
      <c r="E40" s="1604"/>
      <c r="F40" s="1604"/>
      <c r="G40" s="1604"/>
      <c r="I40" s="1604" t="s">
        <v>415</v>
      </c>
      <c r="J40" s="1604"/>
      <c r="K40" s="1604"/>
      <c r="L40" s="1604"/>
    </row>
    <row r="41" spans="1:12" ht="45.75" customHeight="1" x14ac:dyDescent="0.2">
      <c r="A41" s="1591"/>
      <c r="B41" s="597"/>
      <c r="C41" s="1592"/>
      <c r="D41" s="1253" t="s">
        <v>416</v>
      </c>
      <c r="E41" s="1254" t="s">
        <v>418</v>
      </c>
      <c r="F41" s="496" t="s">
        <v>509</v>
      </c>
      <c r="G41" s="1605" t="s">
        <v>50</v>
      </c>
      <c r="I41" s="1253" t="s">
        <v>416</v>
      </c>
      <c r="J41" s="268" t="s">
        <v>418</v>
      </c>
      <c r="K41" s="496" t="s">
        <v>509</v>
      </c>
      <c r="L41" s="1605" t="s">
        <v>50</v>
      </c>
    </row>
    <row r="42" spans="1:12" ht="15" thickBot="1" x14ac:dyDescent="0.25">
      <c r="A42" s="1591"/>
      <c r="B42" s="597"/>
      <c r="C42" s="1593"/>
      <c r="D42" s="497" t="s">
        <v>417</v>
      </c>
      <c r="E42" s="497" t="s">
        <v>419</v>
      </c>
      <c r="F42" s="497" t="s">
        <v>508</v>
      </c>
      <c r="G42" s="1599"/>
      <c r="I42" s="497" t="s">
        <v>417</v>
      </c>
      <c r="J42" s="497" t="s">
        <v>419</v>
      </c>
      <c r="K42" s="497" t="s">
        <v>508</v>
      </c>
      <c r="L42" s="1599"/>
    </row>
    <row r="43" spans="1:12" ht="15.75" customHeight="1" outlineLevel="1" thickBot="1" x14ac:dyDescent="0.25">
      <c r="A43" s="1591"/>
      <c r="B43" s="597"/>
      <c r="C43" s="1598" t="s">
        <v>443</v>
      </c>
      <c r="D43" s="1487" t="s">
        <v>444</v>
      </c>
      <c r="E43" s="1487"/>
      <c r="F43" s="1487"/>
      <c r="G43" s="1487"/>
      <c r="I43" s="1487" t="s">
        <v>444</v>
      </c>
      <c r="J43" s="1487"/>
      <c r="K43" s="1487"/>
      <c r="L43" s="1487"/>
    </row>
    <row r="44" spans="1:12" ht="33.75" outlineLevel="1" x14ac:dyDescent="0.2">
      <c r="A44" s="1591"/>
      <c r="B44" s="597"/>
      <c r="C44" s="1598"/>
      <c r="D44" s="1253" t="s">
        <v>445</v>
      </c>
      <c r="E44" s="1254" t="s">
        <v>447</v>
      </c>
      <c r="F44" s="268" t="s">
        <v>449</v>
      </c>
      <c r="G44" s="1605" t="s">
        <v>277</v>
      </c>
      <c r="I44" s="496" t="s">
        <v>445</v>
      </c>
      <c r="J44" s="268" t="s">
        <v>447</v>
      </c>
      <c r="K44" s="268" t="s">
        <v>449</v>
      </c>
      <c r="L44" s="1605" t="s">
        <v>277</v>
      </c>
    </row>
    <row r="45" spans="1:12" ht="15" outlineLevel="1" thickBot="1" x14ac:dyDescent="0.25">
      <c r="A45" s="1591"/>
      <c r="B45" s="597"/>
      <c r="C45" s="1599"/>
      <c r="D45" s="497" t="s">
        <v>446</v>
      </c>
      <c r="E45" s="497" t="s">
        <v>448</v>
      </c>
      <c r="F45" s="497" t="s">
        <v>450</v>
      </c>
      <c r="G45" s="1599"/>
      <c r="I45" s="497" t="s">
        <v>446</v>
      </c>
      <c r="J45" s="497" t="s">
        <v>448</v>
      </c>
      <c r="K45" s="497" t="s">
        <v>450</v>
      </c>
      <c r="L45" s="1599"/>
    </row>
    <row r="46" spans="1:12" x14ac:dyDescent="0.2">
      <c r="A46" s="597"/>
      <c r="B46" s="597"/>
      <c r="C46" s="598"/>
      <c r="D46" s="95"/>
      <c r="E46" s="95"/>
      <c r="F46" s="95"/>
      <c r="G46" s="106"/>
    </row>
    <row r="47" spans="1:12" x14ac:dyDescent="0.2">
      <c r="A47" s="599" t="s">
        <v>424</v>
      </c>
      <c r="B47" s="599" t="s">
        <v>437</v>
      </c>
      <c r="C47" s="330"/>
      <c r="D47" s="598"/>
      <c r="E47" s="598"/>
      <c r="F47" s="598"/>
      <c r="G47" s="609"/>
    </row>
    <row r="48" spans="1:12" ht="15" thickBot="1" x14ac:dyDescent="0.25">
      <c r="A48" s="610" t="s">
        <v>421</v>
      </c>
      <c r="B48" s="610" t="s">
        <v>434</v>
      </c>
      <c r="C48" s="611"/>
      <c r="D48" s="612"/>
      <c r="E48" s="612"/>
      <c r="F48" s="612"/>
      <c r="G48" s="541"/>
    </row>
    <row r="49" spans="1:12" x14ac:dyDescent="0.2">
      <c r="A49" s="1589" t="s">
        <v>935</v>
      </c>
      <c r="B49" s="1589" t="s">
        <v>936</v>
      </c>
      <c r="C49" s="1238">
        <v>43100</v>
      </c>
      <c r="D49" s="1239" t="s">
        <v>572</v>
      </c>
      <c r="E49" s="1240">
        <v>8060.7294891088404</v>
      </c>
      <c r="F49" s="1240" t="s">
        <v>572</v>
      </c>
      <c r="G49" s="996">
        <v>8060.7294891088404</v>
      </c>
      <c r="I49" s="1240" t="s">
        <v>572</v>
      </c>
      <c r="J49" s="1240">
        <v>8060.7294891088404</v>
      </c>
      <c r="K49" s="1240" t="s">
        <v>572</v>
      </c>
      <c r="L49" s="996">
        <v>8060.7294891088404</v>
      </c>
    </row>
    <row r="50" spans="1:12" ht="15" customHeight="1" thickBot="1" x14ac:dyDescent="0.25">
      <c r="A50" s="1600"/>
      <c r="B50" s="1600"/>
      <c r="C50" s="602">
        <v>42735</v>
      </c>
      <c r="D50" s="603" t="s">
        <v>572</v>
      </c>
      <c r="E50" s="400">
        <v>11563</v>
      </c>
      <c r="F50" s="400" t="s">
        <v>572</v>
      </c>
      <c r="G50" s="401">
        <v>11563</v>
      </c>
      <c r="I50" s="603" t="s">
        <v>572</v>
      </c>
      <c r="J50" s="400">
        <v>11563</v>
      </c>
      <c r="K50" s="603" t="s">
        <v>572</v>
      </c>
      <c r="L50" s="401">
        <v>11563</v>
      </c>
    </row>
    <row r="51" spans="1:12" x14ac:dyDescent="0.2">
      <c r="A51" s="1589" t="s">
        <v>934</v>
      </c>
      <c r="B51" s="1589" t="s">
        <v>932</v>
      </c>
      <c r="C51" s="1238">
        <v>43100</v>
      </c>
      <c r="D51" s="1239"/>
      <c r="E51" s="1240">
        <v>23</v>
      </c>
      <c r="F51" s="1240" t="s">
        <v>572</v>
      </c>
      <c r="G51" s="996">
        <v>23</v>
      </c>
      <c r="I51" s="1240" t="s">
        <v>572</v>
      </c>
      <c r="J51" s="1240">
        <v>23</v>
      </c>
      <c r="K51" s="1240" t="s">
        <v>572</v>
      </c>
      <c r="L51" s="996">
        <v>23</v>
      </c>
    </row>
    <row r="52" spans="1:12" ht="15" customHeight="1" thickBot="1" x14ac:dyDescent="0.25">
      <c r="A52" s="1600"/>
      <c r="B52" s="1600"/>
      <c r="C52" s="602">
        <v>42735</v>
      </c>
      <c r="D52" s="603" t="s">
        <v>572</v>
      </c>
      <c r="E52" s="400">
        <v>23</v>
      </c>
      <c r="F52" s="400" t="s">
        <v>572</v>
      </c>
      <c r="G52" s="401">
        <v>23</v>
      </c>
      <c r="I52" s="603" t="s">
        <v>572</v>
      </c>
      <c r="J52" s="603">
        <v>23</v>
      </c>
      <c r="K52" s="603" t="s">
        <v>572</v>
      </c>
      <c r="L52" s="401">
        <v>23</v>
      </c>
    </row>
    <row r="53" spans="1:12" x14ac:dyDescent="0.2">
      <c r="A53" s="613"/>
      <c r="B53" s="613"/>
      <c r="C53" s="614"/>
      <c r="D53" s="615"/>
      <c r="E53" s="615"/>
      <c r="F53" s="615"/>
      <c r="G53" s="616"/>
      <c r="I53" s="614"/>
      <c r="J53" s="615"/>
      <c r="K53" s="615"/>
      <c r="L53" s="616"/>
    </row>
    <row r="54" spans="1:12" ht="15" thickBot="1" x14ac:dyDescent="0.25">
      <c r="A54" s="599" t="s">
        <v>425</v>
      </c>
      <c r="B54" s="599" t="s">
        <v>438</v>
      </c>
      <c r="C54" s="330"/>
      <c r="D54" s="598"/>
      <c r="E54" s="598"/>
      <c r="F54" s="598"/>
      <c r="G54" s="818"/>
      <c r="I54" s="330"/>
      <c r="J54" s="598"/>
      <c r="K54" s="598"/>
      <c r="L54" s="818"/>
    </row>
    <row r="55" spans="1:12" x14ac:dyDescent="0.2">
      <c r="A55" s="1589" t="s">
        <v>938</v>
      </c>
      <c r="B55" s="1589" t="s">
        <v>937</v>
      </c>
      <c r="C55" s="1238">
        <v>43100</v>
      </c>
      <c r="D55" s="1239" t="s">
        <v>572</v>
      </c>
      <c r="E55" s="1240">
        <v>142590.95416642181</v>
      </c>
      <c r="F55" s="1239" t="s">
        <v>572</v>
      </c>
      <c r="G55" s="996">
        <v>142590.95416642181</v>
      </c>
      <c r="I55" s="1239" t="s">
        <v>572</v>
      </c>
      <c r="J55" s="1240">
        <v>142590.95416642181</v>
      </c>
      <c r="K55" s="1239" t="s">
        <v>572</v>
      </c>
      <c r="L55" s="996">
        <v>142590.95416642181</v>
      </c>
    </row>
    <row r="56" spans="1:12" ht="15" customHeight="1" thickBot="1" x14ac:dyDescent="0.25">
      <c r="A56" s="1600"/>
      <c r="B56" s="1600"/>
      <c r="C56" s="602">
        <v>42735</v>
      </c>
      <c r="D56" s="603" t="s">
        <v>572</v>
      </c>
      <c r="E56" s="930">
        <v>213774</v>
      </c>
      <c r="F56" s="792" t="s">
        <v>572</v>
      </c>
      <c r="G56" s="831">
        <v>213774</v>
      </c>
      <c r="I56" s="792" t="s">
        <v>572</v>
      </c>
      <c r="J56" s="930">
        <v>213774</v>
      </c>
      <c r="K56" s="792" t="s">
        <v>572</v>
      </c>
      <c r="L56" s="831">
        <v>213774</v>
      </c>
    </row>
    <row r="57" spans="1:12" ht="15" x14ac:dyDescent="0.2">
      <c r="A57" s="1589" t="s">
        <v>939</v>
      </c>
      <c r="B57" s="1589" t="s">
        <v>941</v>
      </c>
      <c r="C57" s="1238">
        <v>43100</v>
      </c>
      <c r="D57" s="1239" t="s">
        <v>572</v>
      </c>
      <c r="E57" s="1243">
        <v>689712</v>
      </c>
      <c r="F57" s="1239" t="s">
        <v>572</v>
      </c>
      <c r="G57" s="687">
        <v>689712</v>
      </c>
      <c r="H57" s="1250"/>
      <c r="I57" s="1239" t="s">
        <v>572</v>
      </c>
      <c r="J57" s="1243">
        <v>677727</v>
      </c>
      <c r="K57" s="1239" t="s">
        <v>572</v>
      </c>
      <c r="L57" s="687">
        <v>677727</v>
      </c>
    </row>
    <row r="58" spans="1:12" ht="15" customHeight="1" thickBot="1" x14ac:dyDescent="0.25">
      <c r="A58" s="1600"/>
      <c r="B58" s="1600"/>
      <c r="C58" s="602">
        <v>42735</v>
      </c>
      <c r="D58" s="603" t="s">
        <v>572</v>
      </c>
      <c r="E58" s="1247">
        <v>584315</v>
      </c>
      <c r="F58" s="1248" t="s">
        <v>572</v>
      </c>
      <c r="G58" s="1249">
        <v>584315</v>
      </c>
      <c r="H58" s="1250"/>
      <c r="I58" s="1248" t="s">
        <v>572</v>
      </c>
      <c r="J58" s="1251">
        <v>571072</v>
      </c>
      <c r="K58" s="1248" t="s">
        <v>572</v>
      </c>
      <c r="L58" s="1249">
        <v>571072</v>
      </c>
    </row>
    <row r="59" spans="1:12" x14ac:dyDescent="0.2">
      <c r="A59" s="1589" t="s">
        <v>940</v>
      </c>
      <c r="B59" s="1589" t="s">
        <v>942</v>
      </c>
      <c r="C59" s="1238">
        <v>43100</v>
      </c>
      <c r="D59" s="1240" t="s">
        <v>572</v>
      </c>
      <c r="E59" s="1240" t="s">
        <v>572</v>
      </c>
      <c r="F59" s="1240" t="s">
        <v>572</v>
      </c>
      <c r="G59" s="996" t="s">
        <v>572</v>
      </c>
      <c r="H59" s="617"/>
      <c r="I59" s="1240" t="s">
        <v>572</v>
      </c>
      <c r="J59" s="1240" t="s">
        <v>572</v>
      </c>
      <c r="K59" s="1240" t="s">
        <v>572</v>
      </c>
      <c r="L59" s="996" t="s">
        <v>572</v>
      </c>
    </row>
    <row r="60" spans="1:12" ht="15" customHeight="1" thickBot="1" x14ac:dyDescent="0.25">
      <c r="A60" s="1590"/>
      <c r="B60" s="1590"/>
      <c r="C60" s="602">
        <v>42735</v>
      </c>
      <c r="D60" s="603" t="s">
        <v>572</v>
      </c>
      <c r="E60" s="400" t="s">
        <v>572</v>
      </c>
      <c r="F60" s="400" t="s">
        <v>572</v>
      </c>
      <c r="G60" s="401" t="s">
        <v>572</v>
      </c>
      <c r="I60" s="603" t="s">
        <v>572</v>
      </c>
      <c r="J60" s="400" t="s">
        <v>572</v>
      </c>
      <c r="K60" s="400" t="s">
        <v>572</v>
      </c>
      <c r="L60" s="401" t="s">
        <v>572</v>
      </c>
    </row>
    <row r="61" spans="1:12" x14ac:dyDescent="0.2">
      <c r="A61" s="606"/>
      <c r="B61" s="606"/>
      <c r="C61" s="617"/>
      <c r="D61" s="617"/>
      <c r="E61" s="617"/>
      <c r="F61" s="617"/>
      <c r="G61" s="617"/>
    </row>
    <row r="62" spans="1:12" ht="15" thickBot="1" x14ac:dyDescent="0.25">
      <c r="L62" s="1208" t="s">
        <v>1</v>
      </c>
    </row>
    <row r="63" spans="1:12" ht="15.75" customHeight="1" thickBot="1" x14ac:dyDescent="0.3">
      <c r="A63" s="622"/>
      <c r="B63" s="622"/>
      <c r="C63" s="623"/>
      <c r="D63" s="1603" t="s">
        <v>949</v>
      </c>
      <c r="E63" s="1603"/>
      <c r="F63" s="1603"/>
      <c r="G63" s="1603"/>
      <c r="I63" s="1606" t="s">
        <v>1403</v>
      </c>
      <c r="J63" s="1606"/>
      <c r="K63" s="1606"/>
      <c r="L63" s="1606"/>
    </row>
    <row r="64" spans="1:12" ht="15.75" customHeight="1" thickBot="1" x14ac:dyDescent="0.25">
      <c r="A64" s="1591"/>
      <c r="B64" s="597"/>
      <c r="C64" s="597"/>
      <c r="D64" s="1601" t="s">
        <v>426</v>
      </c>
      <c r="E64" s="1601"/>
      <c r="F64" s="1601" t="s">
        <v>427</v>
      </c>
      <c r="G64" s="1601"/>
      <c r="H64" s="1244"/>
      <c r="I64" s="1601" t="s">
        <v>426</v>
      </c>
      <c r="J64" s="1601"/>
      <c r="K64" s="1601" t="s">
        <v>427</v>
      </c>
      <c r="L64" s="1601"/>
    </row>
    <row r="65" spans="1:17" ht="15.75" customHeight="1" outlineLevel="1" thickBot="1" x14ac:dyDescent="0.25">
      <c r="A65" s="1591"/>
      <c r="B65" s="597"/>
      <c r="C65" s="597"/>
      <c r="D65" s="1602" t="s">
        <v>451</v>
      </c>
      <c r="E65" s="1602"/>
      <c r="F65" s="1602" t="s">
        <v>452</v>
      </c>
      <c r="G65" s="1602"/>
      <c r="H65" s="1244"/>
      <c r="I65" s="1602" t="s">
        <v>451</v>
      </c>
      <c r="J65" s="1602"/>
      <c r="K65" s="1602" t="s">
        <v>452</v>
      </c>
      <c r="L65" s="1602"/>
    </row>
    <row r="66" spans="1:17" ht="15" thickBot="1" x14ac:dyDescent="0.25">
      <c r="A66" s="1591"/>
      <c r="B66" s="597"/>
      <c r="C66" s="597"/>
      <c r="D66" s="1245">
        <v>43100</v>
      </c>
      <c r="E66" s="1246" t="s">
        <v>819</v>
      </c>
      <c r="F66" s="1245">
        <v>43100</v>
      </c>
      <c r="G66" s="1246" t="s">
        <v>819</v>
      </c>
      <c r="H66" s="1244"/>
      <c r="I66" s="1245">
        <v>43100</v>
      </c>
      <c r="J66" s="1246" t="s">
        <v>819</v>
      </c>
      <c r="K66" s="1245">
        <v>43100</v>
      </c>
      <c r="L66" s="1246" t="s">
        <v>819</v>
      </c>
    </row>
    <row r="67" spans="1:17" x14ac:dyDescent="0.2">
      <c r="A67" s="597"/>
      <c r="B67" s="597"/>
      <c r="C67" s="597"/>
      <c r="D67" s="1006"/>
      <c r="E67" s="95"/>
      <c r="F67" s="1006"/>
      <c r="G67" s="95"/>
      <c r="I67" s="1006"/>
      <c r="J67" s="95"/>
      <c r="K67" s="1006"/>
      <c r="L67" s="95"/>
    </row>
    <row r="68" spans="1:17" x14ac:dyDescent="0.2">
      <c r="A68" s="618" t="s">
        <v>428</v>
      </c>
      <c r="B68" s="618" t="s">
        <v>439</v>
      </c>
      <c r="C68" s="618"/>
      <c r="D68" s="1047"/>
      <c r="E68" s="598"/>
      <c r="F68" s="1047"/>
      <c r="G68" s="598"/>
      <c r="I68" s="1047"/>
      <c r="J68" s="598"/>
      <c r="K68" s="1047"/>
      <c r="L68" s="598"/>
    </row>
    <row r="69" spans="1:17" x14ac:dyDescent="0.2">
      <c r="A69" s="1048" t="s">
        <v>21</v>
      </c>
      <c r="B69" s="1048" t="s">
        <v>589</v>
      </c>
      <c r="C69" s="1048"/>
      <c r="D69" s="867">
        <v>16984.373145232927</v>
      </c>
      <c r="E69" s="229">
        <v>20554</v>
      </c>
      <c r="F69" s="867">
        <v>21092.473701887669</v>
      </c>
      <c r="G69" s="345">
        <v>25545</v>
      </c>
      <c r="I69" s="867">
        <v>16984.373145232927</v>
      </c>
      <c r="J69" s="229">
        <v>20554</v>
      </c>
      <c r="K69" s="867">
        <v>21092.473701887669</v>
      </c>
      <c r="L69" s="345">
        <v>25545</v>
      </c>
    </row>
    <row r="70" spans="1:17" ht="22.5" x14ac:dyDescent="0.2">
      <c r="A70" s="1049" t="s">
        <v>431</v>
      </c>
      <c r="B70" s="1049" t="s">
        <v>441</v>
      </c>
      <c r="C70" s="1049"/>
      <c r="D70" s="827"/>
      <c r="E70" s="792"/>
      <c r="F70" s="827"/>
      <c r="G70" s="792"/>
      <c r="I70" s="827"/>
      <c r="J70" s="792"/>
      <c r="K70" s="827"/>
      <c r="L70" s="792"/>
    </row>
    <row r="71" spans="1:17" x14ac:dyDescent="0.2">
      <c r="A71" s="1050" t="s">
        <v>820</v>
      </c>
      <c r="B71" s="1050" t="s">
        <v>595</v>
      </c>
      <c r="C71" s="1050"/>
      <c r="D71" s="867">
        <v>545</v>
      </c>
      <c r="E71" s="229">
        <v>3980</v>
      </c>
      <c r="F71" s="867">
        <v>545</v>
      </c>
      <c r="G71" s="229">
        <v>3980</v>
      </c>
      <c r="I71" s="867">
        <v>545</v>
      </c>
      <c r="J71" s="229">
        <v>3980</v>
      </c>
      <c r="K71" s="867">
        <v>545</v>
      </c>
      <c r="L71" s="229">
        <v>3980</v>
      </c>
    </row>
    <row r="72" spans="1:17" ht="22.5" x14ac:dyDescent="0.2">
      <c r="A72" s="1049" t="s">
        <v>432</v>
      </c>
      <c r="B72" s="1051" t="s">
        <v>442</v>
      </c>
      <c r="C72" s="1051"/>
      <c r="D72" s="855"/>
      <c r="E72" s="201"/>
      <c r="F72" s="855"/>
      <c r="G72" s="201"/>
      <c r="I72" s="855"/>
      <c r="J72" s="201"/>
      <c r="K72" s="855"/>
      <c r="L72" s="201"/>
    </row>
    <row r="73" spans="1:17" x14ac:dyDescent="0.2">
      <c r="A73" s="1050" t="s">
        <v>585</v>
      </c>
      <c r="B73" s="1050" t="s">
        <v>595</v>
      </c>
      <c r="C73" s="1050"/>
      <c r="D73" s="867">
        <v>4043</v>
      </c>
      <c r="E73" s="229">
        <v>2154</v>
      </c>
      <c r="F73" s="867">
        <v>4043</v>
      </c>
      <c r="G73" s="229">
        <v>2154</v>
      </c>
      <c r="I73" s="867">
        <v>4043</v>
      </c>
      <c r="J73" s="229">
        <v>2154</v>
      </c>
      <c r="K73" s="867">
        <v>4043</v>
      </c>
      <c r="L73" s="229">
        <v>2154</v>
      </c>
    </row>
    <row r="74" spans="1:17" x14ac:dyDescent="0.2">
      <c r="A74" s="1113" t="s">
        <v>584</v>
      </c>
      <c r="B74" s="1113" t="s">
        <v>591</v>
      </c>
      <c r="C74" s="619"/>
      <c r="D74" s="780">
        <v>31</v>
      </c>
      <c r="E74" s="184" t="s">
        <v>625</v>
      </c>
      <c r="F74" s="780">
        <v>31</v>
      </c>
      <c r="G74" s="184" t="s">
        <v>625</v>
      </c>
      <c r="I74" s="780">
        <v>31</v>
      </c>
      <c r="J74" s="184" t="s">
        <v>625</v>
      </c>
      <c r="K74" s="780">
        <v>31</v>
      </c>
      <c r="L74" s="184" t="s">
        <v>625</v>
      </c>
    </row>
    <row r="75" spans="1:17" x14ac:dyDescent="0.2">
      <c r="A75" s="620"/>
      <c r="B75" s="620"/>
      <c r="C75" s="620"/>
      <c r="D75" s="1047"/>
      <c r="E75" s="598"/>
      <c r="F75" s="1047"/>
      <c r="G75" s="598"/>
      <c r="I75" s="1047"/>
      <c r="J75" s="598"/>
      <c r="K75" s="1047"/>
      <c r="L75" s="598"/>
    </row>
    <row r="76" spans="1:17" x14ac:dyDescent="0.2">
      <c r="A76" s="620" t="s">
        <v>429</v>
      </c>
      <c r="B76" s="620" t="s">
        <v>440</v>
      </c>
      <c r="C76" s="620"/>
      <c r="D76" s="1047"/>
      <c r="E76" s="598"/>
      <c r="F76" s="1047"/>
      <c r="G76" s="598"/>
      <c r="I76" s="1047"/>
      <c r="J76" s="598"/>
      <c r="K76" s="1047"/>
      <c r="L76" s="598"/>
    </row>
    <row r="77" spans="1:17" x14ac:dyDescent="0.2">
      <c r="A77" s="621" t="s">
        <v>430</v>
      </c>
      <c r="B77" s="621" t="s">
        <v>590</v>
      </c>
      <c r="C77" s="621"/>
      <c r="D77" s="1006"/>
      <c r="E77" s="95"/>
      <c r="F77" s="1006"/>
      <c r="G77" s="95"/>
      <c r="I77" s="1006"/>
      <c r="J77" s="95"/>
      <c r="K77" s="1006"/>
      <c r="L77" s="95"/>
    </row>
    <row r="78" spans="1:17" ht="15" x14ac:dyDescent="0.2">
      <c r="A78" s="1050" t="s">
        <v>588</v>
      </c>
      <c r="B78" s="1050" t="s">
        <v>594</v>
      </c>
      <c r="C78" s="1050"/>
      <c r="D78" s="867">
        <v>137044.5942817266</v>
      </c>
      <c r="E78" s="229">
        <v>207251</v>
      </c>
      <c r="F78" s="786">
        <v>142590.95416642181</v>
      </c>
      <c r="G78" s="345">
        <v>213774</v>
      </c>
      <c r="I78" s="867">
        <v>137044.5942817266</v>
      </c>
      <c r="J78" s="137">
        <v>207251</v>
      </c>
      <c r="K78" s="786">
        <v>142590.95416642181</v>
      </c>
      <c r="L78" s="1112">
        <v>213774</v>
      </c>
      <c r="N78" s="28"/>
      <c r="O78" s="28"/>
      <c r="P78" s="28"/>
      <c r="Q78" s="28"/>
    </row>
    <row r="79" spans="1:17" ht="15" x14ac:dyDescent="0.2">
      <c r="A79" s="619" t="s">
        <v>587</v>
      </c>
      <c r="B79" s="619" t="s">
        <v>593</v>
      </c>
      <c r="C79" s="619"/>
      <c r="D79" s="780">
        <v>689712.46996798425</v>
      </c>
      <c r="E79" s="190">
        <v>584315</v>
      </c>
      <c r="F79" s="780">
        <v>689712.46996798425</v>
      </c>
      <c r="G79" s="190">
        <v>584315</v>
      </c>
      <c r="I79" s="780">
        <v>677727</v>
      </c>
      <c r="J79" s="1111">
        <v>571072</v>
      </c>
      <c r="K79" s="780">
        <v>677727</v>
      </c>
      <c r="L79" s="1111">
        <v>571072</v>
      </c>
      <c r="N79" s="28"/>
      <c r="O79" s="28"/>
      <c r="P79" s="28"/>
      <c r="Q79" s="28"/>
    </row>
    <row r="80" spans="1:17" x14ac:dyDescent="0.2">
      <c r="A80" s="619" t="s">
        <v>586</v>
      </c>
      <c r="B80" s="619" t="s">
        <v>592</v>
      </c>
      <c r="C80" s="619"/>
      <c r="D80" s="780" t="s">
        <v>625</v>
      </c>
      <c r="E80" s="190" t="s">
        <v>625</v>
      </c>
      <c r="F80" s="780" t="s">
        <v>625</v>
      </c>
      <c r="G80" s="190" t="s">
        <v>572</v>
      </c>
      <c r="I80" s="780" t="s">
        <v>625</v>
      </c>
      <c r="J80" s="190" t="s">
        <v>625</v>
      </c>
      <c r="K80" s="780" t="s">
        <v>625</v>
      </c>
      <c r="L80" s="190" t="s">
        <v>572</v>
      </c>
    </row>
    <row r="81" spans="1:12" ht="22.5" x14ac:dyDescent="0.2">
      <c r="A81" s="1049" t="s">
        <v>431</v>
      </c>
      <c r="B81" s="1049" t="s">
        <v>441</v>
      </c>
      <c r="C81" s="1049"/>
      <c r="D81" s="827"/>
      <c r="E81" s="792"/>
      <c r="F81" s="827"/>
      <c r="G81" s="792"/>
      <c r="I81" s="827"/>
      <c r="J81" s="792"/>
      <c r="K81" s="827"/>
      <c r="L81" s="792"/>
    </row>
    <row r="82" spans="1:12" x14ac:dyDescent="0.2">
      <c r="A82" s="1050" t="s">
        <v>585</v>
      </c>
      <c r="B82" s="1050" t="s">
        <v>595</v>
      </c>
      <c r="C82" s="1050"/>
      <c r="D82" s="867">
        <v>23</v>
      </c>
      <c r="E82" s="229">
        <v>23</v>
      </c>
      <c r="F82" s="867">
        <v>23</v>
      </c>
      <c r="G82" s="229">
        <v>23</v>
      </c>
      <c r="I82" s="867">
        <v>23</v>
      </c>
      <c r="J82" s="229">
        <v>23</v>
      </c>
      <c r="K82" s="867">
        <v>23</v>
      </c>
      <c r="L82" s="229">
        <v>23</v>
      </c>
    </row>
    <row r="83" spans="1:12" x14ac:dyDescent="0.2">
      <c r="A83" s="619" t="s">
        <v>584</v>
      </c>
      <c r="B83" s="619" t="s">
        <v>591</v>
      </c>
      <c r="C83" s="619"/>
      <c r="D83" s="780" t="s">
        <v>625</v>
      </c>
      <c r="E83" s="190" t="s">
        <v>625</v>
      </c>
      <c r="F83" s="780" t="s">
        <v>625</v>
      </c>
      <c r="G83" s="190" t="s">
        <v>625</v>
      </c>
      <c r="I83" s="780" t="s">
        <v>625</v>
      </c>
      <c r="J83" s="190" t="s">
        <v>625</v>
      </c>
      <c r="K83" s="780" t="s">
        <v>625</v>
      </c>
      <c r="L83" s="190" t="s">
        <v>625</v>
      </c>
    </row>
    <row r="84" spans="1:12" ht="22.5" x14ac:dyDescent="0.2">
      <c r="A84" s="1049" t="s">
        <v>432</v>
      </c>
      <c r="B84" s="1051" t="s">
        <v>442</v>
      </c>
      <c r="C84" s="1051"/>
      <c r="D84" s="827"/>
      <c r="E84" s="792"/>
      <c r="F84" s="827"/>
      <c r="G84" s="792"/>
      <c r="I84" s="827"/>
      <c r="J84" s="792"/>
      <c r="K84" s="827"/>
      <c r="L84" s="792"/>
    </row>
    <row r="85" spans="1:12" ht="15" thickBot="1" x14ac:dyDescent="0.25">
      <c r="A85" s="1052" t="s">
        <v>584</v>
      </c>
      <c r="B85" s="1052" t="s">
        <v>591</v>
      </c>
      <c r="C85" s="1052"/>
      <c r="D85" s="1053">
        <v>8060.7922188725061</v>
      </c>
      <c r="E85" s="819">
        <v>11563</v>
      </c>
      <c r="F85" s="1053">
        <v>8060.7922188725061</v>
      </c>
      <c r="G85" s="819">
        <v>11563</v>
      </c>
      <c r="I85" s="1053">
        <v>8060.7922188725061</v>
      </c>
      <c r="J85" s="819">
        <v>11563</v>
      </c>
      <c r="K85" s="1053">
        <v>8060.7922188725061</v>
      </c>
      <c r="L85" s="819">
        <v>11563</v>
      </c>
    </row>
  </sheetData>
  <sheetProtection algorithmName="SHA-512" hashValue="JzWcuBn+YCKzYOiCZznPKmNErs+AiiNcxQMN3xm0+lCpHZ+WWljm5URPgTcjwNlosBCL5Tmj6FZpy4mf3SYYAw==" saltValue="j2alo6LH5W3QfTShUD44Tw==" spinCount="100000" sheet="1" objects="1" scenarios="1"/>
  <mergeCells count="61">
    <mergeCell ref="A29:A30"/>
    <mergeCell ref="B29:B30"/>
    <mergeCell ref="A31:A32"/>
    <mergeCell ref="B31:B32"/>
    <mergeCell ref="D43:G43"/>
    <mergeCell ref="A43:A45"/>
    <mergeCell ref="C43:C45"/>
    <mergeCell ref="G44:G45"/>
    <mergeCell ref="A40:A42"/>
    <mergeCell ref="C40:C42"/>
    <mergeCell ref="G41:G42"/>
    <mergeCell ref="D40:G40"/>
    <mergeCell ref="D39:G39"/>
    <mergeCell ref="I39:L39"/>
    <mergeCell ref="I40:L40"/>
    <mergeCell ref="L41:L42"/>
    <mergeCell ref="I43:L43"/>
    <mergeCell ref="L44:L45"/>
    <mergeCell ref="I63:L63"/>
    <mergeCell ref="I64:J64"/>
    <mergeCell ref="K64:L64"/>
    <mergeCell ref="I65:J65"/>
    <mergeCell ref="K65:L65"/>
    <mergeCell ref="I10:L10"/>
    <mergeCell ref="L11:L12"/>
    <mergeCell ref="I13:L13"/>
    <mergeCell ref="L14:L15"/>
    <mergeCell ref="D9:G9"/>
    <mergeCell ref="I9:L9"/>
    <mergeCell ref="G11:G12"/>
    <mergeCell ref="D10:G10"/>
    <mergeCell ref="D13:G13"/>
    <mergeCell ref="G14:G15"/>
    <mergeCell ref="A57:A58"/>
    <mergeCell ref="A59:A60"/>
    <mergeCell ref="B59:B60"/>
    <mergeCell ref="A64:A66"/>
    <mergeCell ref="D64:E64"/>
    <mergeCell ref="D65:E65"/>
    <mergeCell ref="D63:G63"/>
    <mergeCell ref="B57:B58"/>
    <mergeCell ref="F64:G64"/>
    <mergeCell ref="F65:G65"/>
    <mergeCell ref="A49:A50"/>
    <mergeCell ref="B49:B50"/>
    <mergeCell ref="B51:B52"/>
    <mergeCell ref="A51:A52"/>
    <mergeCell ref="A55:A56"/>
    <mergeCell ref="B55:B56"/>
    <mergeCell ref="C10:C12"/>
    <mergeCell ref="A21:A22"/>
    <mergeCell ref="B21:B22"/>
    <mergeCell ref="A18:A19"/>
    <mergeCell ref="A13:A15"/>
    <mergeCell ref="C13:C15"/>
    <mergeCell ref="B18:B19"/>
    <mergeCell ref="A27:A28"/>
    <mergeCell ref="B27:B28"/>
    <mergeCell ref="A23:A24"/>
    <mergeCell ref="B23:B24"/>
    <mergeCell ref="A10:A12"/>
  </mergeCells>
  <pageMargins left="0" right="0" top="0.98425196850393704" bottom="0.35433070866141736" header="0" footer="0"/>
  <pageSetup paperSize="9" scale="67" fitToHeight="4" orientation="landscape" r:id="rId1"/>
  <headerFooter>
    <oddFooter>&amp;C&amp;P. lapa / page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102"/>
  <sheetViews>
    <sheetView showGridLines="0" zoomScaleNormal="100" workbookViewId="0">
      <pane ySplit="2" topLeftCell="A3" activePane="bottomLeft" state="frozen"/>
      <selection pane="bottomLeft" activeCell="A3" sqref="A3"/>
    </sheetView>
  </sheetViews>
  <sheetFormatPr defaultColWidth="9.140625" defaultRowHeight="15" outlineLevelCol="1" x14ac:dyDescent="0.25"/>
  <cols>
    <col min="1" max="1" width="44.85546875" style="252" customWidth="1"/>
    <col min="2" max="2" width="44.85546875" style="252" customWidth="1" outlineLevel="1"/>
    <col min="3" max="3" width="16.28515625" style="252" customWidth="1"/>
    <col min="4" max="4" width="11.5703125" style="252" customWidth="1"/>
    <col min="5" max="5" width="16.7109375" style="252" customWidth="1"/>
    <col min="6" max="7" width="15.85546875" style="252" customWidth="1"/>
    <col min="8" max="8" width="9.42578125" style="252" customWidth="1"/>
    <col min="9" max="9" width="10.5703125" style="252" customWidth="1"/>
    <col min="10" max="10" width="9.140625" style="252"/>
    <col min="11" max="16" width="11.5703125" style="252" customWidth="1"/>
    <col min="17" max="16384" width="9.140625" style="252"/>
  </cols>
  <sheetData>
    <row r="1" spans="1:7" x14ac:dyDescent="0.25">
      <c r="A1" s="510" t="str">
        <f>'Key Figures'!A1</f>
        <v>LATVENERGO KONCERNA KONSOLIDĒTIE un</v>
      </c>
      <c r="B1" s="510" t="str">
        <f>'Key Figures'!B1</f>
        <v>LATVENERGO GROUP CONSOLIDATED and</v>
      </c>
    </row>
    <row r="2" spans="1:7" x14ac:dyDescent="0.25">
      <c r="A2" s="510" t="str">
        <f>'Key Figures'!A2</f>
        <v>AS „LATVENERGO” 2017. GADA FINANŠU PĀRSKATI</v>
      </c>
      <c r="B2" s="510" t="str">
        <f>'Key Figures'!B2</f>
        <v>LATVENERGO AS FINANCIAL STATEMENTS 2017</v>
      </c>
    </row>
    <row r="3" spans="1:7" s="512" customFormat="1" ht="15.75" x14ac:dyDescent="0.25">
      <c r="A3" s="511" t="s">
        <v>989</v>
      </c>
      <c r="B3" s="511" t="s">
        <v>324</v>
      </c>
      <c r="C3" s="28"/>
    </row>
    <row r="4" spans="1:7" x14ac:dyDescent="0.25">
      <c r="A4" s="624"/>
      <c r="B4" s="624"/>
    </row>
    <row r="5" spans="1:7" ht="15.75" thickBot="1" x14ac:dyDescent="0.25">
      <c r="A5" s="504" t="s">
        <v>176</v>
      </c>
      <c r="B5" s="504" t="s">
        <v>583</v>
      </c>
      <c r="C5" s="504"/>
      <c r="F5" s="514"/>
      <c r="G5" s="1208" t="s">
        <v>1</v>
      </c>
    </row>
    <row r="6" spans="1:7" s="30" customFormat="1" ht="15.75" x14ac:dyDescent="0.25">
      <c r="A6" s="509"/>
      <c r="B6" s="509"/>
      <c r="C6" s="1613" t="s">
        <v>949</v>
      </c>
      <c r="D6" s="1613"/>
      <c r="E6" s="637"/>
      <c r="F6" s="1613" t="s">
        <v>1403</v>
      </c>
      <c r="G6" s="1613"/>
    </row>
    <row r="7" spans="1:7" s="502" customFormat="1" ht="13.5" thickBot="1" x14ac:dyDescent="0.3">
      <c r="A7" s="99"/>
      <c r="B7" s="99"/>
      <c r="C7" s="1224">
        <v>2017</v>
      </c>
      <c r="D7" s="1225">
        <v>2016</v>
      </c>
      <c r="E7" s="1226"/>
      <c r="F7" s="1224">
        <v>2017</v>
      </c>
      <c r="G7" s="1225">
        <v>2016</v>
      </c>
    </row>
    <row r="8" spans="1:7" s="502" customFormat="1" ht="11.25" x14ac:dyDescent="0.25">
      <c r="A8" s="181"/>
      <c r="B8" s="181"/>
      <c r="C8" s="861"/>
      <c r="D8" s="99"/>
      <c r="F8" s="861"/>
      <c r="G8" s="99"/>
    </row>
    <row r="9" spans="1:7" s="502" customFormat="1" ht="11.25" x14ac:dyDescent="0.25">
      <c r="A9" s="181"/>
      <c r="B9" s="181"/>
      <c r="C9" s="861"/>
      <c r="D9" s="99"/>
      <c r="F9" s="861"/>
      <c r="G9" s="99"/>
    </row>
    <row r="10" spans="1:7" s="502" customFormat="1" ht="11.25" x14ac:dyDescent="0.25">
      <c r="A10" s="498" t="s">
        <v>103</v>
      </c>
      <c r="B10" s="498" t="s">
        <v>271</v>
      </c>
      <c r="C10" s="976">
        <v>16428</v>
      </c>
      <c r="D10" s="404">
        <v>13619</v>
      </c>
      <c r="F10" s="976">
        <v>6733</v>
      </c>
      <c r="G10" s="404">
        <v>5445</v>
      </c>
    </row>
    <row r="11" spans="1:7" s="502" customFormat="1" ht="11.25" x14ac:dyDescent="0.25">
      <c r="A11" s="248" t="s">
        <v>532</v>
      </c>
      <c r="B11" s="248" t="s">
        <v>325</v>
      </c>
      <c r="C11" s="933">
        <v>1392</v>
      </c>
      <c r="D11" s="282">
        <v>1011</v>
      </c>
      <c r="F11" s="933">
        <v>572</v>
      </c>
      <c r="G11" s="282">
        <v>457</v>
      </c>
    </row>
    <row r="12" spans="1:7" s="502" customFormat="1" ht="11.25" x14ac:dyDescent="0.25">
      <c r="A12" s="248" t="s">
        <v>97</v>
      </c>
      <c r="B12" s="248" t="s">
        <v>326</v>
      </c>
      <c r="C12" s="933">
        <v>304</v>
      </c>
      <c r="D12" s="282">
        <v>204</v>
      </c>
      <c r="F12" s="933">
        <v>124</v>
      </c>
      <c r="G12" s="282">
        <v>82</v>
      </c>
    </row>
    <row r="13" spans="1:7" s="502" customFormat="1" ht="11.25" x14ac:dyDescent="0.25">
      <c r="A13" s="248" t="s">
        <v>177</v>
      </c>
      <c r="B13" s="248" t="s">
        <v>582</v>
      </c>
      <c r="C13" s="933">
        <v>-943</v>
      </c>
      <c r="D13" s="282">
        <v>-1352</v>
      </c>
      <c r="F13" s="933">
        <v>-465</v>
      </c>
      <c r="G13" s="282">
        <v>-298</v>
      </c>
    </row>
    <row r="14" spans="1:7" s="502" customFormat="1" ht="22.5" x14ac:dyDescent="0.2">
      <c r="A14" s="319" t="s">
        <v>1555</v>
      </c>
      <c r="B14" s="248" t="s">
        <v>1554</v>
      </c>
      <c r="C14" s="854">
        <v>-3460</v>
      </c>
      <c r="D14" s="187">
        <v>2946</v>
      </c>
      <c r="F14" s="854">
        <v>-1053</v>
      </c>
      <c r="G14" s="187">
        <v>1047</v>
      </c>
    </row>
    <row r="15" spans="1:7" s="502" customFormat="1" ht="12" thickBot="1" x14ac:dyDescent="0.3">
      <c r="A15" s="536" t="s">
        <v>105</v>
      </c>
      <c r="B15" s="536" t="s">
        <v>273</v>
      </c>
      <c r="C15" s="916">
        <v>13721</v>
      </c>
      <c r="D15" s="401">
        <v>16428</v>
      </c>
      <c r="F15" s="916">
        <v>5911</v>
      </c>
      <c r="G15" s="401">
        <v>6733</v>
      </c>
    </row>
    <row r="16" spans="1:7" x14ac:dyDescent="0.25">
      <c r="A16" s="625"/>
      <c r="B16" s="625"/>
      <c r="C16" s="305"/>
      <c r="D16" s="305"/>
    </row>
    <row r="17" spans="1:16" x14ac:dyDescent="0.25">
      <c r="A17" s="478"/>
      <c r="B17" s="478"/>
      <c r="C17" s="305"/>
      <c r="D17" s="305"/>
    </row>
    <row r="18" spans="1:16" ht="94.5" customHeight="1" thickBot="1" x14ac:dyDescent="0.25">
      <c r="A18" s="503" t="s">
        <v>1363</v>
      </c>
      <c r="B18" s="503" t="s">
        <v>1362</v>
      </c>
      <c r="C18" s="502"/>
      <c r="D18" s="502"/>
      <c r="E18" s="502"/>
      <c r="F18" s="502"/>
      <c r="G18" s="1208" t="s">
        <v>1</v>
      </c>
      <c r="H18" s="502"/>
    </row>
    <row r="19" spans="1:16" s="30" customFormat="1" ht="15.75" x14ac:dyDescent="0.25">
      <c r="A19" s="509"/>
      <c r="B19" s="509"/>
      <c r="C19" s="1613" t="s">
        <v>949</v>
      </c>
      <c r="D19" s="1613"/>
      <c r="E19" s="637"/>
      <c r="F19" s="1613" t="s">
        <v>1403</v>
      </c>
      <c r="G19" s="1613"/>
    </row>
    <row r="20" spans="1:16" s="502" customFormat="1" ht="13.5" thickBot="1" x14ac:dyDescent="0.3">
      <c r="A20" s="99"/>
      <c r="B20" s="99"/>
      <c r="C20" s="1224">
        <v>2017</v>
      </c>
      <c r="D20" s="1225">
        <v>2016</v>
      </c>
      <c r="E20" s="1226"/>
      <c r="F20" s="1224">
        <v>2017</v>
      </c>
      <c r="G20" s="1225">
        <v>2016</v>
      </c>
    </row>
    <row r="21" spans="1:16" x14ac:dyDescent="0.25">
      <c r="A21" s="181"/>
      <c r="B21" s="181"/>
      <c r="C21" s="861"/>
      <c r="D21" s="99"/>
      <c r="E21" s="502"/>
      <c r="F21" s="861"/>
      <c r="G21" s="99"/>
      <c r="H21" s="502"/>
    </row>
    <row r="22" spans="1:16" x14ac:dyDescent="0.25">
      <c r="A22" s="498" t="s">
        <v>103</v>
      </c>
      <c r="B22" s="498" t="s">
        <v>271</v>
      </c>
      <c r="C22" s="976">
        <v>16428</v>
      </c>
      <c r="D22" s="404">
        <v>13619</v>
      </c>
      <c r="E22" s="502"/>
      <c r="F22" s="976">
        <v>6733</v>
      </c>
      <c r="G22" s="404">
        <v>5445</v>
      </c>
      <c r="H22" s="502"/>
    </row>
    <row r="23" spans="1:16" ht="22.5" x14ac:dyDescent="0.2">
      <c r="A23" s="319" t="s">
        <v>1556</v>
      </c>
      <c r="B23" s="248" t="s">
        <v>1558</v>
      </c>
      <c r="C23" s="854">
        <v>-3460</v>
      </c>
      <c r="D23" s="187">
        <v>2946</v>
      </c>
      <c r="E23" s="502"/>
      <c r="F23" s="985">
        <v>-1053</v>
      </c>
      <c r="G23" s="187">
        <v>1047</v>
      </c>
    </row>
    <row r="24" spans="1:16" ht="22.5" x14ac:dyDescent="0.2">
      <c r="A24" s="319" t="s">
        <v>1557</v>
      </c>
      <c r="B24" s="248" t="s">
        <v>1559</v>
      </c>
      <c r="C24" s="854" t="s">
        <v>572</v>
      </c>
      <c r="D24" s="187">
        <v>-638</v>
      </c>
      <c r="E24" s="502"/>
      <c r="F24" s="985" t="s">
        <v>572</v>
      </c>
      <c r="G24" s="187">
        <v>-157</v>
      </c>
    </row>
    <row r="25" spans="1:16" x14ac:dyDescent="0.25">
      <c r="A25" s="248" t="s">
        <v>1327</v>
      </c>
      <c r="B25" s="248" t="s">
        <v>1328</v>
      </c>
      <c r="C25" s="839">
        <v>753</v>
      </c>
      <c r="D25" s="184">
        <v>501</v>
      </c>
      <c r="E25" s="502"/>
      <c r="F25" s="933">
        <v>231</v>
      </c>
      <c r="G25" s="184">
        <v>398</v>
      </c>
    </row>
    <row r="26" spans="1:16" ht="15.75" thickBot="1" x14ac:dyDescent="0.3">
      <c r="A26" s="536" t="s">
        <v>105</v>
      </c>
      <c r="B26" s="536" t="s">
        <v>273</v>
      </c>
      <c r="C26" s="916">
        <v>13721</v>
      </c>
      <c r="D26" s="401">
        <v>16428</v>
      </c>
      <c r="E26" s="502"/>
      <c r="F26" s="401">
        <v>5911</v>
      </c>
      <c r="G26" s="401">
        <v>6733</v>
      </c>
    </row>
    <row r="27" spans="1:16" x14ac:dyDescent="0.25">
      <c r="A27" s="540"/>
      <c r="B27" s="540"/>
    </row>
    <row r="28" spans="1:16" ht="36.75" thickBot="1" x14ac:dyDescent="0.3">
      <c r="A28" s="478" t="s">
        <v>580</v>
      </c>
      <c r="B28" s="478" t="s">
        <v>581</v>
      </c>
      <c r="C28" s="1109"/>
      <c r="D28" s="475"/>
      <c r="E28" s="475"/>
      <c r="F28" s="1109"/>
      <c r="G28" s="475"/>
      <c r="H28" s="475"/>
      <c r="P28" s="1208" t="s">
        <v>1</v>
      </c>
    </row>
    <row r="29" spans="1:16" ht="15.75" thickBot="1" x14ac:dyDescent="0.3">
      <c r="A29" s="634"/>
      <c r="B29" s="635"/>
      <c r="C29" s="635"/>
      <c r="D29" s="1614" t="s">
        <v>949</v>
      </c>
      <c r="E29" s="1614"/>
      <c r="F29" s="1614"/>
      <c r="G29" s="1614"/>
      <c r="H29" s="1614"/>
      <c r="I29" s="1614"/>
      <c r="K29" s="1614" t="s">
        <v>1403</v>
      </c>
      <c r="L29" s="1614"/>
      <c r="M29" s="1614"/>
      <c r="N29" s="1614"/>
      <c r="O29" s="1614"/>
      <c r="P29" s="1614"/>
    </row>
    <row r="30" spans="1:16" ht="22.7" customHeight="1" thickBot="1" x14ac:dyDescent="0.25">
      <c r="A30" s="1502" t="s">
        <v>510</v>
      </c>
      <c r="B30" s="1502" t="s">
        <v>515</v>
      </c>
      <c r="C30" s="495" t="s">
        <v>414</v>
      </c>
      <c r="D30" s="1608" t="s">
        <v>511</v>
      </c>
      <c r="E30" s="1608"/>
      <c r="F30" s="1608" t="s">
        <v>512</v>
      </c>
      <c r="G30" s="1608"/>
      <c r="H30" s="1580" t="s">
        <v>513</v>
      </c>
      <c r="I30" s="1580"/>
      <c r="K30" s="1608" t="s">
        <v>511</v>
      </c>
      <c r="L30" s="1608"/>
      <c r="M30" s="1580" t="s">
        <v>512</v>
      </c>
      <c r="N30" s="1580"/>
      <c r="O30" s="1580" t="s">
        <v>513</v>
      </c>
      <c r="P30" s="1580"/>
    </row>
    <row r="31" spans="1:16" ht="22.7" customHeight="1" thickBot="1" x14ac:dyDescent="0.25">
      <c r="A31" s="1502"/>
      <c r="B31" s="1502"/>
      <c r="C31" s="1231" t="s">
        <v>443</v>
      </c>
      <c r="D31" s="1599" t="s">
        <v>516</v>
      </c>
      <c r="E31" s="1599"/>
      <c r="F31" s="1599" t="s">
        <v>517</v>
      </c>
      <c r="G31" s="1599"/>
      <c r="H31" s="1498" t="s">
        <v>518</v>
      </c>
      <c r="I31" s="1498"/>
      <c r="K31" s="1599" t="s">
        <v>516</v>
      </c>
      <c r="L31" s="1599"/>
      <c r="M31" s="1599" t="s">
        <v>517</v>
      </c>
      <c r="N31" s="1599"/>
      <c r="O31" s="1498" t="s">
        <v>518</v>
      </c>
      <c r="P31" s="1498"/>
    </row>
    <row r="32" spans="1:16" ht="22.5" x14ac:dyDescent="0.25">
      <c r="A32" s="1502"/>
      <c r="B32" s="1502"/>
      <c r="C32" s="1497"/>
      <c r="D32" s="99" t="s">
        <v>944</v>
      </c>
      <c r="E32" s="99" t="s">
        <v>945</v>
      </c>
      <c r="F32" s="99" t="s">
        <v>944</v>
      </c>
      <c r="G32" s="99" t="s">
        <v>945</v>
      </c>
      <c r="H32" s="99" t="s">
        <v>944</v>
      </c>
      <c r="I32" s="99" t="s">
        <v>945</v>
      </c>
      <c r="K32" s="99" t="s">
        <v>944</v>
      </c>
      <c r="L32" s="99" t="s">
        <v>945</v>
      </c>
      <c r="M32" s="99" t="s">
        <v>944</v>
      </c>
      <c r="N32" s="99" t="s">
        <v>945</v>
      </c>
      <c r="O32" s="99" t="s">
        <v>944</v>
      </c>
      <c r="P32" s="99" t="s">
        <v>945</v>
      </c>
    </row>
    <row r="33" spans="1:16" ht="13.7" customHeight="1" thickBot="1" x14ac:dyDescent="0.3">
      <c r="A33" s="1607"/>
      <c r="B33" s="1607"/>
      <c r="C33" s="1498"/>
      <c r="D33" s="626" t="s">
        <v>519</v>
      </c>
      <c r="E33" s="626" t="s">
        <v>520</v>
      </c>
      <c r="F33" s="626" t="s">
        <v>519</v>
      </c>
      <c r="G33" s="626" t="s">
        <v>520</v>
      </c>
      <c r="H33" s="626" t="s">
        <v>519</v>
      </c>
      <c r="I33" s="626" t="s">
        <v>520</v>
      </c>
      <c r="K33" s="626" t="s">
        <v>519</v>
      </c>
      <c r="L33" s="626" t="s">
        <v>520</v>
      </c>
      <c r="M33" s="626" t="s">
        <v>519</v>
      </c>
      <c r="N33" s="626" t="s">
        <v>520</v>
      </c>
      <c r="O33" s="626" t="s">
        <v>519</v>
      </c>
      <c r="P33" s="626" t="s">
        <v>520</v>
      </c>
    </row>
    <row r="34" spans="1:16" ht="13.7" customHeight="1" x14ac:dyDescent="0.25">
      <c r="A34" s="263"/>
      <c r="B34" s="263"/>
      <c r="C34" s="263"/>
      <c r="D34" s="368"/>
      <c r="E34" s="368"/>
      <c r="F34" s="368"/>
      <c r="G34" s="368"/>
      <c r="H34" s="368"/>
      <c r="I34" s="368"/>
      <c r="K34" s="368"/>
      <c r="L34" s="368"/>
      <c r="M34" s="368"/>
      <c r="N34" s="368"/>
      <c r="O34" s="368"/>
      <c r="P34" s="368"/>
    </row>
    <row r="35" spans="1:16" ht="8.25" customHeight="1" x14ac:dyDescent="0.25">
      <c r="A35" s="498"/>
      <c r="B35" s="498"/>
      <c r="C35" s="498"/>
      <c r="D35" s="99"/>
      <c r="E35" s="99"/>
      <c r="F35" s="99"/>
      <c r="G35" s="99"/>
      <c r="H35" s="99"/>
      <c r="I35" s="99"/>
      <c r="K35" s="99"/>
      <c r="L35" s="99"/>
      <c r="M35" s="99"/>
      <c r="N35" s="99"/>
      <c r="O35" s="99"/>
      <c r="P35" s="99"/>
    </row>
    <row r="36" spans="1:16" ht="12.75" customHeight="1" x14ac:dyDescent="0.25">
      <c r="A36" s="1611" t="s">
        <v>514</v>
      </c>
      <c r="B36" s="1609" t="s">
        <v>943</v>
      </c>
      <c r="C36" s="1126">
        <v>43100</v>
      </c>
      <c r="D36" s="1127">
        <v>1508</v>
      </c>
      <c r="E36" s="933">
        <v>-1246</v>
      </c>
      <c r="F36" s="1127">
        <v>1468</v>
      </c>
      <c r="G36" s="933">
        <v>-1240</v>
      </c>
      <c r="H36" s="1127">
        <v>1634</v>
      </c>
      <c r="I36" s="933">
        <v>-1360</v>
      </c>
      <c r="K36" s="1127">
        <v>594</v>
      </c>
      <c r="L36" s="933">
        <v>-488</v>
      </c>
      <c r="M36" s="1127">
        <v>578</v>
      </c>
      <c r="N36" s="933">
        <v>-486</v>
      </c>
      <c r="O36" s="1127">
        <v>644</v>
      </c>
      <c r="P36" s="933">
        <v>-533</v>
      </c>
    </row>
    <row r="37" spans="1:16" ht="15.75" customHeight="1" thickBot="1" x14ac:dyDescent="0.3">
      <c r="A37" s="1612"/>
      <c r="B37" s="1610"/>
      <c r="C37" s="602">
        <v>42735</v>
      </c>
      <c r="D37" s="627">
        <v>1945</v>
      </c>
      <c r="E37" s="628">
        <v>-1590</v>
      </c>
      <c r="F37" s="627">
        <v>1886</v>
      </c>
      <c r="G37" s="628">
        <v>-1577</v>
      </c>
      <c r="H37" s="627">
        <v>2071</v>
      </c>
      <c r="I37" s="628">
        <v>-1709</v>
      </c>
      <c r="K37" s="627">
        <v>752</v>
      </c>
      <c r="L37" s="628">
        <v>-611</v>
      </c>
      <c r="M37" s="627">
        <v>728</v>
      </c>
      <c r="N37" s="628">
        <v>-606</v>
      </c>
      <c r="O37" s="627">
        <v>800</v>
      </c>
      <c r="P37" s="628">
        <v>-656</v>
      </c>
    </row>
    <row r="38" spans="1:16" x14ac:dyDescent="0.25">
      <c r="A38" s="636"/>
      <c r="B38" s="636"/>
    </row>
    <row r="39" spans="1:16" x14ac:dyDescent="0.25">
      <c r="A39" s="636"/>
      <c r="B39" s="636"/>
    </row>
    <row r="40" spans="1:16" ht="26.25" thickBot="1" x14ac:dyDescent="0.25">
      <c r="A40" s="504" t="s">
        <v>992</v>
      </c>
      <c r="B40" s="504" t="s">
        <v>1560</v>
      </c>
      <c r="E40" s="1208" t="s">
        <v>1</v>
      </c>
    </row>
    <row r="41" spans="1:16" ht="30.75" thickBot="1" x14ac:dyDescent="0.3">
      <c r="A41" s="508"/>
      <c r="B41" s="508"/>
      <c r="C41" s="1229" t="s">
        <v>949</v>
      </c>
      <c r="E41" s="1228" t="s">
        <v>1403</v>
      </c>
    </row>
    <row r="42" spans="1:16" ht="16.5" thickBot="1" x14ac:dyDescent="0.3">
      <c r="A42" s="1230"/>
      <c r="B42" s="1230"/>
      <c r="C42" s="1224">
        <v>2017</v>
      </c>
      <c r="D42" s="530"/>
      <c r="E42" s="1224">
        <v>2017</v>
      </c>
    </row>
    <row r="43" spans="1:16" x14ac:dyDescent="0.25">
      <c r="A43" s="181"/>
      <c r="B43" s="181"/>
      <c r="C43" s="839"/>
      <c r="E43" s="839"/>
      <c r="G43" s="305"/>
    </row>
    <row r="44" spans="1:16" x14ac:dyDescent="0.25">
      <c r="A44" s="1139" t="s">
        <v>103</v>
      </c>
      <c r="B44" s="731" t="s">
        <v>271</v>
      </c>
      <c r="C44" s="839" t="s">
        <v>572</v>
      </c>
      <c r="E44" s="839" t="s">
        <v>572</v>
      </c>
    </row>
    <row r="45" spans="1:16" x14ac:dyDescent="0.25">
      <c r="A45" s="248" t="s">
        <v>1427</v>
      </c>
      <c r="B45" s="248" t="s">
        <v>1181</v>
      </c>
      <c r="C45" s="839">
        <v>-3974</v>
      </c>
      <c r="E45" s="839">
        <v>-407</v>
      </c>
    </row>
    <row r="46" spans="1:16" x14ac:dyDescent="0.25">
      <c r="A46" s="248" t="s">
        <v>1428</v>
      </c>
      <c r="B46" s="248" t="s">
        <v>1182</v>
      </c>
      <c r="C46" s="839">
        <v>7364</v>
      </c>
      <c r="E46" s="839">
        <v>1310</v>
      </c>
    </row>
    <row r="47" spans="1:16" x14ac:dyDescent="0.25">
      <c r="A47" s="248" t="s">
        <v>1429</v>
      </c>
      <c r="B47" s="248" t="s">
        <v>1183</v>
      </c>
      <c r="C47" s="839">
        <v>5925</v>
      </c>
      <c r="E47" s="839">
        <v>1704</v>
      </c>
    </row>
    <row r="48" spans="1:16" ht="15.75" thickBot="1" x14ac:dyDescent="0.3">
      <c r="A48" s="536" t="s">
        <v>105</v>
      </c>
      <c r="B48" s="536" t="s">
        <v>273</v>
      </c>
      <c r="C48" s="916">
        <v>9315</v>
      </c>
      <c r="E48" s="916">
        <v>2607</v>
      </c>
    </row>
    <row r="49" spans="1:16" x14ac:dyDescent="0.25">
      <c r="A49" s="636"/>
      <c r="B49" s="636"/>
    </row>
    <row r="50" spans="1:16" x14ac:dyDescent="0.25">
      <c r="A50" s="636"/>
      <c r="B50" s="636"/>
      <c r="C50" s="640"/>
    </row>
    <row r="51" spans="1:16" ht="15.75" thickBot="1" x14ac:dyDescent="0.3">
      <c r="A51" s="636"/>
      <c r="B51" s="636"/>
      <c r="P51" s="753" t="s">
        <v>1</v>
      </c>
    </row>
    <row r="52" spans="1:16" ht="15.75" thickBot="1" x14ac:dyDescent="0.3">
      <c r="A52" s="634"/>
      <c r="B52" s="635"/>
      <c r="C52" s="635"/>
      <c r="D52" s="1614" t="s">
        <v>949</v>
      </c>
      <c r="E52" s="1614"/>
      <c r="F52" s="1614"/>
      <c r="G52" s="1614"/>
      <c r="H52" s="1614"/>
      <c r="I52" s="1614"/>
      <c r="K52" s="1614" t="s">
        <v>1403</v>
      </c>
      <c r="L52" s="1614"/>
      <c r="M52" s="1614"/>
      <c r="N52" s="1614"/>
      <c r="O52" s="1614"/>
      <c r="P52" s="1614"/>
    </row>
    <row r="53" spans="1:16" ht="22.7" customHeight="1" thickBot="1" x14ac:dyDescent="0.25">
      <c r="A53" s="1502" t="s">
        <v>510</v>
      </c>
      <c r="B53" s="1502" t="s">
        <v>515</v>
      </c>
      <c r="C53" s="730" t="s">
        <v>414</v>
      </c>
      <c r="D53" s="1608" t="s">
        <v>511</v>
      </c>
      <c r="E53" s="1608"/>
      <c r="F53" s="1580" t="s">
        <v>512</v>
      </c>
      <c r="G53" s="1580"/>
      <c r="H53" s="1580" t="s">
        <v>1561</v>
      </c>
      <c r="I53" s="1580"/>
      <c r="K53" s="1608" t="s">
        <v>511</v>
      </c>
      <c r="L53" s="1608"/>
      <c r="M53" s="1580" t="s">
        <v>512</v>
      </c>
      <c r="N53" s="1580"/>
      <c r="O53" s="1580" t="s">
        <v>1561</v>
      </c>
      <c r="P53" s="1580"/>
    </row>
    <row r="54" spans="1:16" ht="22.7" customHeight="1" thickBot="1" x14ac:dyDescent="0.25">
      <c r="A54" s="1502"/>
      <c r="B54" s="1502"/>
      <c r="C54" s="1231" t="s">
        <v>443</v>
      </c>
      <c r="D54" s="1599" t="s">
        <v>516</v>
      </c>
      <c r="E54" s="1599"/>
      <c r="F54" s="1599" t="s">
        <v>517</v>
      </c>
      <c r="G54" s="1599"/>
      <c r="H54" s="1498" t="s">
        <v>1562</v>
      </c>
      <c r="I54" s="1498"/>
      <c r="K54" s="1599" t="s">
        <v>516</v>
      </c>
      <c r="L54" s="1599"/>
      <c r="M54" s="1599" t="s">
        <v>517</v>
      </c>
      <c r="N54" s="1599"/>
      <c r="O54" s="1498" t="s">
        <v>1562</v>
      </c>
      <c r="P54" s="1498"/>
    </row>
    <row r="55" spans="1:16" ht="22.5" x14ac:dyDescent="0.25">
      <c r="A55" s="1502"/>
      <c r="B55" s="1502"/>
      <c r="C55" s="1497"/>
      <c r="D55" s="99" t="s">
        <v>944</v>
      </c>
      <c r="E55" s="99" t="s">
        <v>945</v>
      </c>
      <c r="F55" s="99" t="s">
        <v>944</v>
      </c>
      <c r="G55" s="99" t="s">
        <v>945</v>
      </c>
      <c r="H55" s="99" t="s">
        <v>944</v>
      </c>
      <c r="I55" s="99" t="s">
        <v>945</v>
      </c>
      <c r="K55" s="99" t="s">
        <v>944</v>
      </c>
      <c r="L55" s="99" t="s">
        <v>945</v>
      </c>
      <c r="M55" s="99" t="s">
        <v>944</v>
      </c>
      <c r="N55" s="99" t="s">
        <v>945</v>
      </c>
      <c r="O55" s="99" t="s">
        <v>944</v>
      </c>
      <c r="P55" s="99" t="s">
        <v>945</v>
      </c>
    </row>
    <row r="56" spans="1:16" ht="13.7" customHeight="1" thickBot="1" x14ac:dyDescent="0.3">
      <c r="A56" s="1607"/>
      <c r="B56" s="1607"/>
      <c r="C56" s="1498"/>
      <c r="D56" s="626" t="s">
        <v>519</v>
      </c>
      <c r="E56" s="626" t="s">
        <v>520</v>
      </c>
      <c r="F56" s="626" t="s">
        <v>519</v>
      </c>
      <c r="G56" s="626" t="s">
        <v>520</v>
      </c>
      <c r="H56" s="626" t="s">
        <v>519</v>
      </c>
      <c r="I56" s="626" t="s">
        <v>520</v>
      </c>
      <c r="K56" s="626" t="s">
        <v>519</v>
      </c>
      <c r="L56" s="626" t="s">
        <v>520</v>
      </c>
      <c r="M56" s="626" t="s">
        <v>519</v>
      </c>
      <c r="N56" s="626" t="s">
        <v>520</v>
      </c>
      <c r="O56" s="626" t="s">
        <v>519</v>
      </c>
      <c r="P56" s="626" t="s">
        <v>520</v>
      </c>
    </row>
    <row r="57" spans="1:16" ht="13.7" customHeight="1" x14ac:dyDescent="0.25">
      <c r="A57" s="263"/>
      <c r="B57" s="263"/>
      <c r="C57" s="263"/>
      <c r="D57" s="368"/>
      <c r="E57" s="368"/>
      <c r="F57" s="368"/>
      <c r="G57" s="368"/>
      <c r="H57" s="368"/>
      <c r="I57" s="368"/>
      <c r="K57" s="368"/>
      <c r="L57" s="368"/>
      <c r="M57" s="368"/>
      <c r="N57" s="368"/>
      <c r="O57" s="368"/>
      <c r="P57" s="368"/>
    </row>
    <row r="58" spans="1:16" ht="8.25" customHeight="1" x14ac:dyDescent="0.25">
      <c r="A58" s="731"/>
      <c r="B58" s="731"/>
      <c r="C58" s="731"/>
      <c r="D58" s="99"/>
      <c r="E58" s="99"/>
      <c r="F58" s="99"/>
      <c r="G58" s="99"/>
      <c r="H58" s="99"/>
      <c r="I58" s="99"/>
      <c r="K58" s="99"/>
      <c r="L58" s="99"/>
      <c r="M58" s="99"/>
      <c r="N58" s="99"/>
      <c r="O58" s="99"/>
      <c r="P58" s="99"/>
    </row>
    <row r="59" spans="1:16" ht="15.75" customHeight="1" thickBot="1" x14ac:dyDescent="0.3">
      <c r="A59" s="733" t="s">
        <v>1430</v>
      </c>
      <c r="B59" s="732" t="s">
        <v>1184</v>
      </c>
      <c r="C59" s="1232">
        <v>43100</v>
      </c>
      <c r="D59" s="1065">
        <v>-134</v>
      </c>
      <c r="E59" s="1065">
        <v>138</v>
      </c>
      <c r="F59" s="1233">
        <v>261</v>
      </c>
      <c r="G59" s="1065">
        <v>-254</v>
      </c>
      <c r="H59" s="1233">
        <v>53</v>
      </c>
      <c r="I59" s="1065">
        <v>-53</v>
      </c>
      <c r="K59" s="1065">
        <v>-68</v>
      </c>
      <c r="L59" s="1065">
        <v>71</v>
      </c>
      <c r="M59" s="1233">
        <v>69</v>
      </c>
      <c r="N59" s="1065">
        <v>-67</v>
      </c>
      <c r="O59" s="1233">
        <v>15</v>
      </c>
      <c r="P59" s="1065">
        <v>-15</v>
      </c>
    </row>
    <row r="60" spans="1:16" x14ac:dyDescent="0.25">
      <c r="A60" s="636"/>
      <c r="B60" s="636"/>
    </row>
    <row r="61" spans="1:16" ht="15.75" thickBot="1" x14ac:dyDescent="0.3">
      <c r="A61" s="504" t="s">
        <v>993</v>
      </c>
      <c r="B61" s="504" t="s">
        <v>1345</v>
      </c>
      <c r="G61" s="753" t="s">
        <v>1</v>
      </c>
    </row>
    <row r="62" spans="1:16" s="30" customFormat="1" ht="15.75" x14ac:dyDescent="0.25">
      <c r="A62" s="509"/>
      <c r="B62" s="509"/>
      <c r="C62" s="1613" t="s">
        <v>949</v>
      </c>
      <c r="D62" s="1613"/>
      <c r="E62" s="637"/>
      <c r="F62" s="1613" t="s">
        <v>1403</v>
      </c>
      <c r="G62" s="1613"/>
    </row>
    <row r="63" spans="1:16" s="502" customFormat="1" ht="12" thickBot="1" x14ac:dyDescent="0.3">
      <c r="A63" s="99"/>
      <c r="B63" s="99"/>
      <c r="C63" s="1040">
        <v>2017</v>
      </c>
      <c r="D63" s="542">
        <v>2016</v>
      </c>
      <c r="E63" s="633"/>
      <c r="F63" s="1040">
        <v>2017</v>
      </c>
      <c r="G63" s="542">
        <v>2016</v>
      </c>
    </row>
    <row r="64" spans="1:16" s="502" customFormat="1" ht="11.25" x14ac:dyDescent="0.25">
      <c r="A64" s="181"/>
      <c r="B64" s="181"/>
      <c r="C64" s="861"/>
      <c r="D64" s="99"/>
      <c r="F64" s="861"/>
      <c r="G64" s="99"/>
    </row>
    <row r="65" spans="1:7" s="502" customFormat="1" ht="11.25" x14ac:dyDescent="0.25">
      <c r="A65" s="498" t="s">
        <v>103</v>
      </c>
      <c r="B65" s="498" t="s">
        <v>271</v>
      </c>
      <c r="C65" s="976">
        <v>2215</v>
      </c>
      <c r="D65" s="404">
        <v>2365</v>
      </c>
      <c r="F65" s="976">
        <v>1191</v>
      </c>
      <c r="G65" s="404">
        <v>1160</v>
      </c>
    </row>
    <row r="66" spans="1:7" s="502" customFormat="1" ht="11.25" x14ac:dyDescent="0.25">
      <c r="A66" s="248" t="s">
        <v>1327</v>
      </c>
      <c r="B66" s="248" t="s">
        <v>1328</v>
      </c>
      <c r="C66" s="839">
        <v>49</v>
      </c>
      <c r="D66" s="184">
        <v>-150</v>
      </c>
      <c r="F66" s="839">
        <v>29</v>
      </c>
      <c r="G66" s="184">
        <v>31</v>
      </c>
    </row>
    <row r="67" spans="1:7" s="502" customFormat="1" ht="12" thickBot="1" x14ac:dyDescent="0.3">
      <c r="A67" s="536" t="s">
        <v>105</v>
      </c>
      <c r="B67" s="536" t="s">
        <v>273</v>
      </c>
      <c r="C67" s="916">
        <v>2264</v>
      </c>
      <c r="D67" s="401">
        <v>2215</v>
      </c>
      <c r="F67" s="916">
        <v>1220</v>
      </c>
      <c r="G67" s="401">
        <v>1191</v>
      </c>
    </row>
    <row r="68" spans="1:7" x14ac:dyDescent="0.25">
      <c r="A68" s="540"/>
      <c r="B68" s="540"/>
    </row>
    <row r="102" spans="1:6" x14ac:dyDescent="0.25">
      <c r="A102" s="478"/>
      <c r="B102" s="478"/>
      <c r="C102" s="305"/>
      <c r="D102" s="305"/>
      <c r="E102" s="305"/>
      <c r="F102" s="305"/>
    </row>
  </sheetData>
  <sheetProtection algorithmName="SHA-512" hashValue="rvhQckVTkq+Jwez3wAPgASvIEhKKjVdKcDag6GuoV8bnZZuvnEOTIUsG5BP+M0uXMW7mUNHJk9siG20TDH8ouQ==" saltValue="eHNe/kVu7c7YE75T+mh5cw==" spinCount="100000" sheet="1" objects="1" scenarios="1"/>
  <mergeCells count="42">
    <mergeCell ref="C62:D62"/>
    <mergeCell ref="F62:G62"/>
    <mergeCell ref="K31:L31"/>
    <mergeCell ref="M31:N31"/>
    <mergeCell ref="O31:P31"/>
    <mergeCell ref="H31:I31"/>
    <mergeCell ref="D52:I52"/>
    <mergeCell ref="K52:P52"/>
    <mergeCell ref="K53:L53"/>
    <mergeCell ref="M53:N53"/>
    <mergeCell ref="O53:P53"/>
    <mergeCell ref="K54:L54"/>
    <mergeCell ref="M54:N54"/>
    <mergeCell ref="O54:P54"/>
    <mergeCell ref="K30:L30"/>
    <mergeCell ref="D29:I29"/>
    <mergeCell ref="K29:P29"/>
    <mergeCell ref="D30:E30"/>
    <mergeCell ref="F30:G30"/>
    <mergeCell ref="H30:I30"/>
    <mergeCell ref="M30:N30"/>
    <mergeCell ref="O30:P30"/>
    <mergeCell ref="B36:B37"/>
    <mergeCell ref="A36:A37"/>
    <mergeCell ref="C6:D6"/>
    <mergeCell ref="F6:G6"/>
    <mergeCell ref="C19:D19"/>
    <mergeCell ref="F19:G19"/>
    <mergeCell ref="D31:E31"/>
    <mergeCell ref="F31:G31"/>
    <mergeCell ref="A30:A33"/>
    <mergeCell ref="B30:B33"/>
    <mergeCell ref="C32:C33"/>
    <mergeCell ref="A53:A56"/>
    <mergeCell ref="B53:B56"/>
    <mergeCell ref="D53:E53"/>
    <mergeCell ref="F53:G53"/>
    <mergeCell ref="H53:I53"/>
    <mergeCell ref="C55:C56"/>
    <mergeCell ref="D54:E54"/>
    <mergeCell ref="F54:G54"/>
    <mergeCell ref="H54:I54"/>
  </mergeCells>
  <pageMargins left="0.70866141732283472" right="0.70866141732283472" top="0.35433070866141736" bottom="0.11811023622047245" header="0.11811023622047245" footer="0"/>
  <pageSetup paperSize="9" scale="53" fitToHeight="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zoomScaleNormal="100" workbookViewId="0">
      <pane ySplit="2" topLeftCell="A3" activePane="bottomLeft" state="frozen"/>
      <selection pane="bottomLeft" activeCell="A3" sqref="A3"/>
    </sheetView>
  </sheetViews>
  <sheetFormatPr defaultRowHeight="15" outlineLevelCol="1" x14ac:dyDescent="0.25"/>
  <cols>
    <col min="1" max="1" width="67.42578125" customWidth="1"/>
    <col min="2" max="2" width="52.42578125" customWidth="1" outlineLevel="1"/>
    <col min="3" max="4" width="10.140625" bestFit="1" customWidth="1"/>
    <col min="6" max="7" width="15.85546875" customWidth="1"/>
  </cols>
  <sheetData>
    <row r="1" spans="1:15" x14ac:dyDescent="0.25">
      <c r="A1" t="str">
        <f>'Key Figures'!A1</f>
        <v>LATVENERGO KONCERNA KONSOLIDĒTIE un</v>
      </c>
      <c r="B1" t="str">
        <f>'Key Figures'!B1</f>
        <v>LATVENERGO GROUP CONSOLIDATED and</v>
      </c>
    </row>
    <row r="2" spans="1:15" x14ac:dyDescent="0.25">
      <c r="A2" t="str">
        <f>'Key Figures'!A2</f>
        <v>AS „LATVENERGO” 2017. GADA FINANŠU PĀRSKATI</v>
      </c>
      <c r="B2" t="str">
        <f>'Key Figures'!B2</f>
        <v>LATVENERGO AS FINANCIAL STATEMENTS 2017</v>
      </c>
    </row>
    <row r="4" spans="1:15" ht="15.75" x14ac:dyDescent="0.25">
      <c r="A4" s="511" t="s">
        <v>988</v>
      </c>
      <c r="B4" s="533" t="s">
        <v>1550</v>
      </c>
      <c r="C4" s="252"/>
      <c r="D4" s="252"/>
      <c r="E4" s="252"/>
      <c r="F4" s="28"/>
      <c r="G4" s="28"/>
      <c r="H4" s="252"/>
      <c r="I4" s="252"/>
      <c r="J4" s="252"/>
      <c r="K4" s="252"/>
      <c r="L4" s="252"/>
      <c r="M4" s="252"/>
      <c r="N4" s="252"/>
      <c r="O4" s="252"/>
    </row>
    <row r="5" spans="1:15" ht="15.75" x14ac:dyDescent="0.25">
      <c r="A5" s="511"/>
      <c r="B5" s="629"/>
      <c r="C5" s="252"/>
      <c r="D5" s="252"/>
      <c r="E5" s="252"/>
      <c r="F5" s="252"/>
      <c r="G5" s="252"/>
      <c r="H5" s="252"/>
      <c r="I5" s="252"/>
      <c r="J5" s="252"/>
      <c r="K5" s="252"/>
      <c r="L5" s="252"/>
      <c r="M5" s="252"/>
      <c r="N5" s="252"/>
      <c r="O5" s="252"/>
    </row>
    <row r="6" spans="1:15" ht="16.5" thickBot="1" x14ac:dyDescent="0.3">
      <c r="A6" s="512"/>
      <c r="B6" s="533"/>
      <c r="C6" s="512"/>
      <c r="D6" s="512"/>
      <c r="E6" s="512"/>
      <c r="F6" s="512"/>
      <c r="G6" s="753" t="s">
        <v>1</v>
      </c>
      <c r="H6" s="512"/>
      <c r="I6" s="512"/>
      <c r="J6" s="512"/>
      <c r="K6" s="512"/>
      <c r="L6" s="512"/>
      <c r="M6" s="512"/>
      <c r="N6" s="512"/>
      <c r="O6" s="512"/>
    </row>
    <row r="7" spans="1:15" ht="15.75" x14ac:dyDescent="0.25">
      <c r="A7" s="509"/>
      <c r="B7" s="509"/>
      <c r="C7" s="1613" t="s">
        <v>949</v>
      </c>
      <c r="D7" s="1613"/>
      <c r="E7" s="637"/>
      <c r="F7" s="1613" t="s">
        <v>1403</v>
      </c>
      <c r="G7" s="1613"/>
      <c r="H7" s="30"/>
      <c r="I7" s="30"/>
      <c r="J7" s="30"/>
      <c r="K7" s="30"/>
      <c r="L7" s="30"/>
      <c r="M7" s="30"/>
      <c r="N7" s="30"/>
      <c r="O7" s="30"/>
    </row>
    <row r="8" spans="1:15" ht="15.75" thickBot="1" x14ac:dyDescent="0.3">
      <c r="C8" s="1222">
        <v>43100</v>
      </c>
      <c r="D8" s="1223">
        <v>42735</v>
      </c>
      <c r="E8" s="633"/>
      <c r="F8" s="1222">
        <v>43100</v>
      </c>
      <c r="G8" s="1223">
        <v>42735</v>
      </c>
      <c r="H8" s="502"/>
      <c r="I8" s="502"/>
      <c r="J8" s="502"/>
      <c r="K8" s="502"/>
      <c r="L8" s="502"/>
      <c r="M8" s="502"/>
      <c r="N8" s="502"/>
      <c r="O8" s="502"/>
    </row>
    <row r="9" spans="1:15" x14ac:dyDescent="0.25">
      <c r="A9" s="582" t="s">
        <v>1175</v>
      </c>
      <c r="B9" s="582" t="s">
        <v>1174</v>
      </c>
      <c r="C9" s="1054"/>
      <c r="D9" s="94"/>
      <c r="E9" s="633"/>
      <c r="F9" s="1054"/>
      <c r="G9" s="94"/>
      <c r="H9" s="502"/>
      <c r="I9" s="502"/>
      <c r="J9" s="502"/>
      <c r="K9" s="502"/>
      <c r="L9" s="502"/>
      <c r="M9" s="502"/>
      <c r="N9" s="502"/>
      <c r="O9" s="502"/>
    </row>
    <row r="10" spans="1:15" x14ac:dyDescent="0.25">
      <c r="A10" s="582" t="s">
        <v>1171</v>
      </c>
      <c r="B10" s="582" t="s">
        <v>1170</v>
      </c>
      <c r="C10" s="861"/>
      <c r="D10" s="99"/>
      <c r="E10" s="502"/>
      <c r="F10" s="861"/>
      <c r="G10" s="99"/>
      <c r="H10" s="502"/>
      <c r="I10" s="502"/>
      <c r="J10" s="502"/>
      <c r="K10" s="502"/>
      <c r="L10" s="502"/>
      <c r="M10" s="502"/>
      <c r="N10" s="502"/>
      <c r="O10" s="502"/>
    </row>
    <row r="11" spans="1:15" ht="15.75" thickBot="1" x14ac:dyDescent="0.3">
      <c r="A11" s="312" t="s">
        <v>178</v>
      </c>
      <c r="B11" s="312" t="s">
        <v>1004</v>
      </c>
      <c r="C11" s="1055">
        <v>142132</v>
      </c>
      <c r="D11" s="736">
        <v>141817</v>
      </c>
      <c r="E11" s="723"/>
      <c r="F11" s="986" t="s">
        <v>572</v>
      </c>
      <c r="G11" s="724" t="s">
        <v>572</v>
      </c>
      <c r="H11" s="502"/>
      <c r="I11" s="502"/>
      <c r="J11" s="502"/>
      <c r="K11" s="502"/>
      <c r="L11" s="502"/>
      <c r="M11" s="502"/>
      <c r="N11" s="502"/>
      <c r="O11" s="502"/>
    </row>
    <row r="12" spans="1:15" x14ac:dyDescent="0.25">
      <c r="A12" s="355"/>
      <c r="B12" s="355"/>
      <c r="C12" s="1056">
        <v>142132</v>
      </c>
      <c r="D12" s="737">
        <v>141817</v>
      </c>
      <c r="E12" s="723"/>
      <c r="F12" s="1056"/>
      <c r="G12" s="737"/>
      <c r="H12" s="502"/>
      <c r="I12" s="502"/>
      <c r="J12" s="502"/>
      <c r="K12" s="502"/>
      <c r="L12" s="502"/>
      <c r="M12" s="502"/>
      <c r="N12" s="502"/>
      <c r="O12" s="502"/>
    </row>
    <row r="13" spans="1:15" x14ac:dyDescent="0.25">
      <c r="A13" s="729" t="s">
        <v>1169</v>
      </c>
      <c r="B13" s="729" t="s">
        <v>1168</v>
      </c>
      <c r="C13" s="986"/>
      <c r="D13" s="724"/>
      <c r="E13" s="725"/>
      <c r="F13" s="986"/>
      <c r="G13" s="724"/>
      <c r="H13" s="502"/>
      <c r="I13" s="502"/>
      <c r="J13" s="502"/>
      <c r="K13" s="502"/>
      <c r="L13" s="502"/>
      <c r="M13" s="502"/>
      <c r="N13" s="502"/>
      <c r="O13" s="502"/>
    </row>
    <row r="14" spans="1:15" x14ac:dyDescent="0.25">
      <c r="A14" s="312" t="s">
        <v>178</v>
      </c>
      <c r="B14" s="312" t="s">
        <v>1004</v>
      </c>
      <c r="C14" s="1028">
        <v>4319</v>
      </c>
      <c r="D14" s="712">
        <v>4787</v>
      </c>
      <c r="E14" s="725"/>
      <c r="F14" s="986" t="s">
        <v>572</v>
      </c>
      <c r="G14" s="724" t="s">
        <v>572</v>
      </c>
      <c r="H14" s="502"/>
      <c r="I14" s="502"/>
      <c r="J14" s="502"/>
      <c r="K14" s="502"/>
      <c r="L14" s="502"/>
      <c r="M14" s="502"/>
      <c r="N14" s="502"/>
      <c r="O14" s="502"/>
    </row>
    <row r="15" spans="1:15" ht="15.75" thickBot="1" x14ac:dyDescent="0.3">
      <c r="A15" s="248" t="s">
        <v>999</v>
      </c>
      <c r="B15" s="248" t="s">
        <v>1003</v>
      </c>
      <c r="C15" s="1028">
        <v>18056</v>
      </c>
      <c r="D15" s="712">
        <v>3483</v>
      </c>
      <c r="E15" s="723"/>
      <c r="F15" s="1028">
        <v>423</v>
      </c>
      <c r="G15" s="712">
        <v>444</v>
      </c>
      <c r="H15" s="502"/>
      <c r="I15" s="502"/>
      <c r="J15" s="502"/>
      <c r="K15" s="502"/>
      <c r="L15" s="502"/>
      <c r="M15" s="502"/>
      <c r="N15" s="502"/>
      <c r="O15" s="502"/>
    </row>
    <row r="16" spans="1:15" x14ac:dyDescent="0.25">
      <c r="A16" s="355"/>
      <c r="B16" s="355"/>
      <c r="C16" s="1056">
        <v>22375</v>
      </c>
      <c r="D16" s="737">
        <v>8270</v>
      </c>
      <c r="E16" s="723"/>
      <c r="F16" s="1056">
        <v>423</v>
      </c>
      <c r="G16" s="737">
        <v>444</v>
      </c>
      <c r="H16" s="502"/>
      <c r="I16" s="502"/>
      <c r="J16" s="502"/>
      <c r="K16" s="502"/>
      <c r="L16" s="502"/>
      <c r="M16" s="502"/>
      <c r="N16" s="502"/>
      <c r="O16" s="502"/>
    </row>
    <row r="17" spans="1:15" x14ac:dyDescent="0.25">
      <c r="A17" s="729" t="s">
        <v>1167</v>
      </c>
      <c r="B17" s="729" t="s">
        <v>1166</v>
      </c>
      <c r="C17" s="986"/>
      <c r="D17" s="724"/>
      <c r="E17" s="725"/>
      <c r="F17" s="986"/>
      <c r="G17" s="724"/>
      <c r="H17" s="502"/>
      <c r="I17" s="502"/>
      <c r="J17" s="502"/>
      <c r="K17" s="502"/>
      <c r="L17" s="502"/>
      <c r="M17" s="502"/>
      <c r="N17" s="502"/>
      <c r="O17" s="502"/>
    </row>
    <row r="18" spans="1:15" x14ac:dyDescent="0.25">
      <c r="A18" s="178" t="s">
        <v>1436</v>
      </c>
      <c r="B18" s="1101" t="s">
        <v>1435</v>
      </c>
      <c r="C18" s="1028">
        <v>285109</v>
      </c>
      <c r="D18" s="712" t="s">
        <v>572</v>
      </c>
      <c r="E18" s="723"/>
      <c r="F18" s="1028">
        <v>285109</v>
      </c>
      <c r="G18" s="712" t="s">
        <v>572</v>
      </c>
      <c r="H18" s="502"/>
      <c r="I18" s="502"/>
      <c r="J18" s="502"/>
      <c r="K18" s="502"/>
      <c r="L18" s="502"/>
      <c r="M18" s="502"/>
      <c r="N18" s="502"/>
      <c r="O18" s="502"/>
    </row>
    <row r="19" spans="1:15" x14ac:dyDescent="0.25">
      <c r="A19" s="248" t="s">
        <v>179</v>
      </c>
      <c r="B19" s="248" t="s">
        <v>327</v>
      </c>
      <c r="C19" s="985">
        <v>43159</v>
      </c>
      <c r="D19" s="322">
        <v>45013</v>
      </c>
      <c r="E19" s="723"/>
      <c r="F19" s="985">
        <v>270</v>
      </c>
      <c r="G19" s="283">
        <v>304</v>
      </c>
      <c r="H19" s="502"/>
      <c r="I19" s="502"/>
      <c r="J19" s="502"/>
      <c r="K19" s="502"/>
      <c r="L19" s="502"/>
      <c r="M19" s="502"/>
      <c r="N19" s="502"/>
      <c r="O19" s="502"/>
    </row>
    <row r="20" spans="1:15" ht="15.75" thickBot="1" x14ac:dyDescent="0.3">
      <c r="A20" s="253" t="s">
        <v>180</v>
      </c>
      <c r="B20" s="253" t="s">
        <v>328</v>
      </c>
      <c r="C20" s="1057">
        <v>283</v>
      </c>
      <c r="D20" s="1141">
        <v>307</v>
      </c>
      <c r="E20" s="723"/>
      <c r="F20" s="1057">
        <v>283</v>
      </c>
      <c r="G20" s="1141">
        <v>307</v>
      </c>
      <c r="H20" s="502"/>
      <c r="I20" s="502"/>
      <c r="J20" s="502"/>
      <c r="K20" s="502"/>
      <c r="L20" s="502"/>
      <c r="M20" s="502"/>
      <c r="N20" s="502"/>
      <c r="O20" s="502"/>
    </row>
    <row r="21" spans="1:15" ht="15.75" thickBot="1" x14ac:dyDescent="0.3">
      <c r="A21" s="353"/>
      <c r="B21" s="353"/>
      <c r="C21" s="938">
        <v>328551</v>
      </c>
      <c r="D21" s="1142">
        <v>45320</v>
      </c>
      <c r="E21" s="723"/>
      <c r="F21" s="938">
        <v>285662</v>
      </c>
      <c r="G21" s="1142">
        <v>611</v>
      </c>
      <c r="H21" s="502"/>
      <c r="I21" s="502"/>
      <c r="J21" s="502"/>
      <c r="K21" s="502"/>
      <c r="L21" s="502"/>
      <c r="M21" s="502"/>
      <c r="N21" s="502"/>
      <c r="O21" s="502"/>
    </row>
    <row r="22" spans="1:15" ht="15.75" thickBot="1" x14ac:dyDescent="0.3">
      <c r="A22" s="1140" t="s">
        <v>1432</v>
      </c>
      <c r="B22" s="1140" t="s">
        <v>1431</v>
      </c>
      <c r="C22" s="1058">
        <v>493058</v>
      </c>
      <c r="D22" s="1143">
        <v>195407</v>
      </c>
      <c r="E22" s="723"/>
      <c r="F22" s="1058">
        <v>286085</v>
      </c>
      <c r="G22" s="1143">
        <v>1055</v>
      </c>
      <c r="H22" s="502"/>
      <c r="I22" s="502"/>
      <c r="J22" s="502"/>
      <c r="K22" s="502"/>
      <c r="L22" s="502"/>
      <c r="M22" s="502"/>
      <c r="N22" s="502"/>
      <c r="O22" s="502"/>
    </row>
    <row r="23" spans="1:15" x14ac:dyDescent="0.25">
      <c r="A23" s="1198"/>
      <c r="B23" s="1198"/>
      <c r="C23" s="1072"/>
      <c r="D23" s="1227"/>
      <c r="E23" s="723"/>
      <c r="F23" s="1072"/>
      <c r="G23" s="1227"/>
      <c r="H23" s="502"/>
      <c r="I23" s="502"/>
      <c r="J23" s="502"/>
      <c r="K23" s="502"/>
      <c r="L23" s="502"/>
      <c r="M23" s="502"/>
      <c r="N23" s="502"/>
      <c r="O23" s="502"/>
    </row>
    <row r="24" spans="1:15" ht="15.75" thickBot="1" x14ac:dyDescent="0.3">
      <c r="A24" s="630"/>
      <c r="B24" s="630"/>
      <c r="C24" s="252"/>
      <c r="D24" s="252"/>
      <c r="E24" s="252"/>
      <c r="F24" s="252"/>
      <c r="G24" s="753" t="s">
        <v>1</v>
      </c>
      <c r="H24" s="252"/>
      <c r="I24" s="252"/>
      <c r="J24" s="252"/>
      <c r="K24" s="252"/>
      <c r="L24" s="252"/>
      <c r="M24" s="252"/>
      <c r="N24" s="252"/>
      <c r="O24" s="252"/>
    </row>
    <row r="25" spans="1:15" ht="15.75" x14ac:dyDescent="0.25">
      <c r="A25" s="509"/>
      <c r="B25" s="509"/>
      <c r="C25" s="1613" t="s">
        <v>949</v>
      </c>
      <c r="D25" s="1613"/>
      <c r="E25" s="637"/>
      <c r="F25" s="1613" t="s">
        <v>1403</v>
      </c>
      <c r="G25" s="1613"/>
      <c r="H25" s="252"/>
      <c r="I25" s="252"/>
      <c r="J25" s="252"/>
      <c r="K25" s="252"/>
      <c r="L25" s="252"/>
      <c r="M25" s="252"/>
      <c r="N25" s="252"/>
      <c r="O25" s="252"/>
    </row>
    <row r="26" spans="1:15" ht="16.5" thickBot="1" x14ac:dyDescent="0.3">
      <c r="C26" s="1222">
        <v>43100</v>
      </c>
      <c r="D26" s="1223">
        <v>42735</v>
      </c>
      <c r="E26" s="633"/>
      <c r="F26" s="1222">
        <v>43100</v>
      </c>
      <c r="G26" s="1223">
        <v>42735</v>
      </c>
      <c r="H26" s="30"/>
      <c r="I26" s="30"/>
      <c r="J26" s="30"/>
      <c r="K26" s="30"/>
      <c r="L26" s="30"/>
      <c r="M26" s="30"/>
      <c r="N26" s="30"/>
      <c r="O26" s="30"/>
    </row>
    <row r="27" spans="1:15" ht="15.75" x14ac:dyDescent="0.25">
      <c r="A27" s="582" t="s">
        <v>1173</v>
      </c>
      <c r="B27" s="582" t="s">
        <v>1172</v>
      </c>
      <c r="C27" s="1054"/>
      <c r="D27" s="94"/>
      <c r="E27" s="633"/>
      <c r="F27" s="1054"/>
      <c r="G27" s="94"/>
      <c r="H27" s="30"/>
      <c r="I27" s="30"/>
      <c r="J27" s="30"/>
      <c r="K27" s="30"/>
      <c r="L27" s="30"/>
      <c r="M27" s="30"/>
      <c r="N27" s="30"/>
      <c r="O27" s="30"/>
    </row>
    <row r="28" spans="1:15" x14ac:dyDescent="0.25">
      <c r="A28" s="728" t="s">
        <v>1171</v>
      </c>
      <c r="B28" s="728" t="s">
        <v>1170</v>
      </c>
      <c r="C28" s="986"/>
      <c r="D28" s="727"/>
      <c r="E28" s="723"/>
      <c r="F28" s="1059"/>
      <c r="G28" s="727"/>
      <c r="H28" s="502"/>
      <c r="I28" s="502"/>
      <c r="J28" s="502"/>
      <c r="K28" s="502"/>
      <c r="L28" s="502"/>
      <c r="M28" s="502"/>
      <c r="N28" s="502"/>
      <c r="O28" s="502"/>
    </row>
    <row r="29" spans="1:15" x14ac:dyDescent="0.25">
      <c r="A29" s="586" t="s">
        <v>178</v>
      </c>
      <c r="B29" s="586" t="s">
        <v>1004</v>
      </c>
      <c r="C29" s="1028">
        <v>12247</v>
      </c>
      <c r="D29" s="712">
        <v>11605</v>
      </c>
      <c r="E29" s="723"/>
      <c r="F29" s="1028" t="s">
        <v>572</v>
      </c>
      <c r="G29" s="712" t="s">
        <v>572</v>
      </c>
      <c r="H29" s="502"/>
      <c r="I29" s="502"/>
      <c r="J29" s="502"/>
      <c r="K29" s="502"/>
      <c r="L29" s="502"/>
      <c r="M29" s="502"/>
      <c r="N29" s="502"/>
      <c r="O29" s="502"/>
    </row>
    <row r="30" spans="1:15" ht="23.25" thickBot="1" x14ac:dyDescent="0.3">
      <c r="A30" s="319" t="s">
        <v>1434</v>
      </c>
      <c r="B30" s="520" t="s">
        <v>1433</v>
      </c>
      <c r="C30" s="985">
        <v>253</v>
      </c>
      <c r="D30" s="283" t="s">
        <v>572</v>
      </c>
      <c r="E30" s="723"/>
      <c r="F30" s="1060" t="s">
        <v>572</v>
      </c>
      <c r="G30" s="741" t="s">
        <v>572</v>
      </c>
      <c r="H30" s="502"/>
      <c r="I30" s="502"/>
      <c r="J30" s="502"/>
      <c r="K30" s="502"/>
      <c r="L30" s="502"/>
      <c r="M30" s="502"/>
      <c r="N30" s="502"/>
      <c r="O30" s="502"/>
    </row>
    <row r="31" spans="1:15" x14ac:dyDescent="0.25">
      <c r="A31" s="355"/>
      <c r="B31" s="355"/>
      <c r="C31" s="1056">
        <v>12500</v>
      </c>
      <c r="D31" s="737">
        <v>11605</v>
      </c>
      <c r="E31" s="723"/>
      <c r="F31" s="986"/>
      <c r="G31" s="724"/>
      <c r="H31" s="502"/>
      <c r="I31" s="502"/>
      <c r="J31" s="502"/>
      <c r="K31" s="502"/>
      <c r="L31" s="502"/>
      <c r="M31" s="502"/>
      <c r="N31" s="502"/>
      <c r="O31" s="502"/>
    </row>
    <row r="32" spans="1:15" x14ac:dyDescent="0.25">
      <c r="A32" s="726" t="s">
        <v>1169</v>
      </c>
      <c r="B32" s="726" t="s">
        <v>1168</v>
      </c>
      <c r="C32" s="986"/>
      <c r="D32" s="724"/>
      <c r="E32" s="725"/>
      <c r="F32" s="986"/>
      <c r="G32" s="724"/>
      <c r="H32" s="502"/>
      <c r="I32" s="502"/>
      <c r="J32" s="502"/>
      <c r="K32" s="502"/>
      <c r="L32" s="502"/>
      <c r="M32" s="502"/>
      <c r="N32" s="502"/>
      <c r="O32" s="502"/>
    </row>
    <row r="33" spans="1:15" ht="15.75" thickBot="1" x14ac:dyDescent="0.3">
      <c r="A33" s="319" t="s">
        <v>178</v>
      </c>
      <c r="B33" s="319" t="s">
        <v>1004</v>
      </c>
      <c r="C33" s="985">
        <v>449</v>
      </c>
      <c r="D33" s="283">
        <v>449</v>
      </c>
      <c r="E33" s="723"/>
      <c r="F33" s="1028" t="s">
        <v>572</v>
      </c>
      <c r="G33" s="712" t="s">
        <v>572</v>
      </c>
      <c r="H33" s="502"/>
      <c r="I33" s="502"/>
      <c r="J33" s="502"/>
      <c r="K33" s="502"/>
      <c r="L33" s="502"/>
      <c r="M33" s="502"/>
      <c r="N33" s="502"/>
      <c r="O33" s="502"/>
    </row>
    <row r="34" spans="1:15" x14ac:dyDescent="0.25">
      <c r="A34" s="355"/>
      <c r="B34" s="355"/>
      <c r="C34" s="1056">
        <v>449</v>
      </c>
      <c r="D34" s="737">
        <v>449</v>
      </c>
      <c r="E34" s="723"/>
      <c r="F34" s="1056"/>
      <c r="G34" s="737"/>
      <c r="H34" s="502"/>
      <c r="I34" s="502"/>
      <c r="J34" s="502"/>
      <c r="K34" s="502"/>
      <c r="L34" s="502"/>
      <c r="M34" s="502"/>
      <c r="N34" s="502"/>
      <c r="O34" s="502"/>
    </row>
    <row r="35" spans="1:15" ht="18" customHeight="1" x14ac:dyDescent="0.25">
      <c r="A35" s="726" t="s">
        <v>1167</v>
      </c>
      <c r="B35" s="726" t="s">
        <v>1166</v>
      </c>
      <c r="C35" s="986"/>
      <c r="D35" s="724"/>
      <c r="E35" s="725"/>
      <c r="F35" s="986"/>
      <c r="G35" s="724"/>
      <c r="H35" s="502"/>
      <c r="I35" s="502"/>
      <c r="J35" s="502"/>
      <c r="K35" s="502"/>
      <c r="L35" s="502"/>
      <c r="M35" s="502"/>
      <c r="N35" s="502"/>
      <c r="O35" s="502"/>
    </row>
    <row r="36" spans="1:15" x14ac:dyDescent="0.25">
      <c r="A36" s="586" t="s">
        <v>999</v>
      </c>
      <c r="B36" s="586" t="s">
        <v>1003</v>
      </c>
      <c r="C36" s="1028">
        <v>121</v>
      </c>
      <c r="D36" s="712">
        <v>57</v>
      </c>
      <c r="E36" s="723"/>
      <c r="F36" s="1028">
        <v>20</v>
      </c>
      <c r="G36" s="712">
        <v>20</v>
      </c>
      <c r="H36" s="502"/>
      <c r="I36" s="502"/>
      <c r="J36" s="502"/>
      <c r="K36" s="502"/>
      <c r="L36" s="502"/>
      <c r="M36" s="502"/>
      <c r="N36" s="502"/>
      <c r="O36" s="502"/>
    </row>
    <row r="37" spans="1:15" x14ac:dyDescent="0.25">
      <c r="A37" s="319" t="s">
        <v>1436</v>
      </c>
      <c r="B37" s="1100" t="s">
        <v>1435</v>
      </c>
      <c r="C37" s="1028">
        <v>29304</v>
      </c>
      <c r="D37" s="712" t="s">
        <v>572</v>
      </c>
      <c r="E37" s="723"/>
      <c r="F37" s="1028">
        <v>29304</v>
      </c>
      <c r="G37" s="712" t="s">
        <v>572</v>
      </c>
      <c r="H37" s="502"/>
      <c r="I37" s="502"/>
      <c r="J37" s="502"/>
      <c r="K37" s="502"/>
      <c r="L37" s="502"/>
      <c r="M37" s="502"/>
      <c r="N37" s="502"/>
      <c r="O37" s="502"/>
    </row>
    <row r="38" spans="1:15" ht="15.75" thickBot="1" x14ac:dyDescent="0.3">
      <c r="A38" s="319" t="s">
        <v>179</v>
      </c>
      <c r="B38" s="319" t="s">
        <v>327</v>
      </c>
      <c r="C38" s="985">
        <v>1854</v>
      </c>
      <c r="D38" s="283">
        <v>1911</v>
      </c>
      <c r="E38" s="723"/>
      <c r="F38" s="985">
        <v>34</v>
      </c>
      <c r="G38" s="283">
        <v>39</v>
      </c>
      <c r="H38" s="502"/>
      <c r="I38" s="502"/>
      <c r="J38" s="502"/>
      <c r="K38" s="502"/>
      <c r="L38" s="502"/>
      <c r="M38" s="502"/>
      <c r="N38" s="502"/>
      <c r="O38" s="502"/>
    </row>
    <row r="39" spans="1:15" ht="15.75" thickBot="1" x14ac:dyDescent="0.3">
      <c r="A39" s="742"/>
      <c r="B39" s="742"/>
      <c r="C39" s="938">
        <v>31279</v>
      </c>
      <c r="D39" s="739">
        <v>1968</v>
      </c>
      <c r="E39" s="723"/>
      <c r="F39" s="938">
        <v>29358</v>
      </c>
      <c r="G39" s="739">
        <v>59</v>
      </c>
      <c r="H39" s="813"/>
      <c r="I39" s="502"/>
      <c r="J39" s="502"/>
      <c r="K39" s="502"/>
      <c r="L39" s="502"/>
      <c r="M39" s="502"/>
      <c r="N39" s="502"/>
      <c r="O39" s="502"/>
    </row>
    <row r="40" spans="1:15" ht="15.75" thickBot="1" x14ac:dyDescent="0.3">
      <c r="A40" s="1199" t="s">
        <v>1548</v>
      </c>
      <c r="B40" s="735" t="s">
        <v>1549</v>
      </c>
      <c r="C40" s="1058">
        <v>44228</v>
      </c>
      <c r="D40" s="740">
        <v>14022</v>
      </c>
      <c r="E40" s="723"/>
      <c r="F40" s="1058">
        <v>29358</v>
      </c>
      <c r="G40" s="740">
        <v>59</v>
      </c>
      <c r="H40" s="502"/>
      <c r="I40" s="502"/>
      <c r="J40" s="502"/>
      <c r="K40" s="502"/>
      <c r="L40" s="502"/>
      <c r="M40" s="502"/>
      <c r="N40" s="502"/>
      <c r="O40" s="502"/>
    </row>
    <row r="41" spans="1:15" ht="15.75" thickBot="1" x14ac:dyDescent="0.3">
      <c r="A41" s="1199" t="s">
        <v>181</v>
      </c>
      <c r="B41" s="1149" t="s">
        <v>579</v>
      </c>
      <c r="C41" s="1058">
        <v>537286</v>
      </c>
      <c r="D41" s="1143">
        <v>209429</v>
      </c>
      <c r="E41" s="723"/>
      <c r="F41" s="1058">
        <v>315443</v>
      </c>
      <c r="G41" s="1143">
        <v>1114</v>
      </c>
      <c r="H41" s="502"/>
      <c r="I41" s="502"/>
      <c r="J41" s="502"/>
      <c r="K41" s="502"/>
      <c r="L41" s="502"/>
      <c r="M41" s="502"/>
      <c r="N41" s="502"/>
      <c r="O41" s="502"/>
    </row>
    <row r="42" spans="1:15" x14ac:dyDescent="0.25">
      <c r="A42" s="734"/>
      <c r="B42" s="734"/>
      <c r="C42" s="101"/>
      <c r="D42" s="101"/>
      <c r="E42" s="502"/>
      <c r="F42" s="101"/>
      <c r="G42" s="101"/>
      <c r="H42" s="502"/>
      <c r="I42" s="502"/>
      <c r="J42" s="502"/>
      <c r="K42" s="502"/>
      <c r="L42" s="502"/>
      <c r="M42" s="502"/>
      <c r="N42" s="502"/>
      <c r="O42" s="502"/>
    </row>
    <row r="43" spans="1:15" x14ac:dyDescent="0.25">
      <c r="A43" s="734"/>
      <c r="B43" s="734"/>
      <c r="C43" s="101"/>
      <c r="D43" s="101"/>
      <c r="E43" s="502"/>
      <c r="F43" s="101"/>
      <c r="G43" s="101"/>
      <c r="H43" s="502"/>
      <c r="I43" s="502"/>
      <c r="J43" s="502"/>
      <c r="K43" s="502"/>
      <c r="L43" s="502"/>
      <c r="M43" s="502"/>
      <c r="N43" s="502"/>
      <c r="O43" s="502"/>
    </row>
    <row r="44" spans="1:15" x14ac:dyDescent="0.25">
      <c r="A44" s="734"/>
      <c r="B44" s="734"/>
      <c r="C44" s="101"/>
      <c r="D44" s="101"/>
      <c r="E44" s="502"/>
      <c r="F44" s="101"/>
      <c r="G44" s="101"/>
      <c r="H44" s="502"/>
      <c r="I44" s="502"/>
      <c r="J44" s="502"/>
      <c r="K44" s="502"/>
      <c r="L44" s="502"/>
      <c r="M44" s="502"/>
      <c r="N44" s="502"/>
      <c r="O44" s="502"/>
    </row>
    <row r="45" spans="1:15" ht="26.25" thickBot="1" x14ac:dyDescent="0.3">
      <c r="A45" s="631" t="s">
        <v>182</v>
      </c>
      <c r="B45" s="631" t="s">
        <v>1396</v>
      </c>
      <c r="C45" s="252"/>
      <c r="D45" s="252"/>
      <c r="E45" s="252"/>
      <c r="F45" s="252"/>
      <c r="G45" s="753" t="s">
        <v>1</v>
      </c>
      <c r="H45" s="252"/>
      <c r="I45" s="252"/>
      <c r="J45" s="252"/>
      <c r="K45" s="252"/>
      <c r="L45" s="252"/>
      <c r="M45" s="252"/>
      <c r="N45" s="252"/>
      <c r="O45" s="252"/>
    </row>
    <row r="46" spans="1:15" ht="15.75" x14ac:dyDescent="0.25">
      <c r="A46" s="509"/>
      <c r="B46" s="509"/>
      <c r="C46" s="1613" t="s">
        <v>949</v>
      </c>
      <c r="D46" s="1613"/>
      <c r="E46" s="637"/>
      <c r="F46" s="1613" t="s">
        <v>1403</v>
      </c>
      <c r="G46" s="1613"/>
      <c r="H46" s="512"/>
      <c r="I46" s="512"/>
      <c r="J46" s="512"/>
      <c r="K46" s="512"/>
      <c r="L46" s="512"/>
      <c r="M46" s="512"/>
      <c r="N46" s="512"/>
      <c r="O46" s="512"/>
    </row>
    <row r="47" spans="1:15" ht="16.5" thickBot="1" x14ac:dyDescent="0.3">
      <c r="A47" s="99"/>
      <c r="B47" s="99"/>
      <c r="C47" s="1224">
        <v>2017</v>
      </c>
      <c r="D47" s="1225">
        <v>2016</v>
      </c>
      <c r="E47" s="633"/>
      <c r="F47" s="1224">
        <v>2017</v>
      </c>
      <c r="G47" s="1225">
        <v>2016</v>
      </c>
      <c r="H47" s="512"/>
      <c r="I47" s="512"/>
      <c r="J47" s="512"/>
      <c r="K47" s="512"/>
      <c r="L47" s="512"/>
      <c r="M47" s="512"/>
      <c r="N47" s="512"/>
      <c r="O47" s="512"/>
    </row>
    <row r="48" spans="1:15" ht="15.75" x14ac:dyDescent="0.25">
      <c r="A48" s="181"/>
      <c r="B48" s="181"/>
      <c r="C48" s="861"/>
      <c r="D48" s="99"/>
      <c r="E48" s="502"/>
      <c r="F48" s="861"/>
      <c r="G48" s="99"/>
      <c r="H48" s="512"/>
      <c r="I48" s="512"/>
      <c r="J48" s="512"/>
      <c r="K48" s="512"/>
      <c r="L48" s="512"/>
      <c r="M48" s="512"/>
      <c r="N48" s="512"/>
      <c r="O48" s="512"/>
    </row>
    <row r="49" spans="1:15" ht="15.75" x14ac:dyDescent="0.25">
      <c r="A49" s="734" t="s">
        <v>103</v>
      </c>
      <c r="B49" s="734" t="s">
        <v>271</v>
      </c>
      <c r="C49" s="976">
        <v>209429</v>
      </c>
      <c r="D49" s="404">
        <v>209860</v>
      </c>
      <c r="E49" s="502"/>
      <c r="F49" s="976">
        <v>1114</v>
      </c>
      <c r="G49" s="404">
        <v>1192</v>
      </c>
      <c r="H49" s="30"/>
      <c r="I49" s="30"/>
      <c r="J49" s="30"/>
      <c r="K49" s="30"/>
      <c r="L49" s="30"/>
      <c r="M49" s="30"/>
      <c r="N49" s="30"/>
      <c r="O49" s="30"/>
    </row>
    <row r="50" spans="1:15" x14ac:dyDescent="0.25">
      <c r="A50" s="248" t="s">
        <v>1000</v>
      </c>
      <c r="B50" s="248" t="s">
        <v>1002</v>
      </c>
      <c r="C50" s="867">
        <v>14707</v>
      </c>
      <c r="D50" s="229">
        <v>2249</v>
      </c>
      <c r="E50" s="502"/>
      <c r="F50" s="867" t="s">
        <v>572</v>
      </c>
      <c r="G50" s="229" t="s">
        <v>572</v>
      </c>
      <c r="H50" s="502"/>
      <c r="I50" s="502"/>
      <c r="J50" s="502"/>
      <c r="K50" s="502"/>
      <c r="L50" s="502"/>
      <c r="M50" s="502"/>
      <c r="N50" s="502"/>
      <c r="O50" s="502"/>
    </row>
    <row r="51" spans="1:15" x14ac:dyDescent="0.25">
      <c r="A51" s="248" t="s">
        <v>1001</v>
      </c>
      <c r="B51" s="248" t="s">
        <v>329</v>
      </c>
      <c r="C51" s="867">
        <v>12848</v>
      </c>
      <c r="D51" s="229">
        <v>11097</v>
      </c>
      <c r="E51" s="502"/>
      <c r="F51" s="867" t="s">
        <v>572</v>
      </c>
      <c r="G51" s="229" t="s">
        <v>572</v>
      </c>
      <c r="H51" s="502"/>
      <c r="I51" s="502"/>
      <c r="J51" s="502"/>
      <c r="K51" s="502"/>
      <c r="L51" s="502"/>
      <c r="M51" s="502"/>
      <c r="N51" s="502"/>
      <c r="O51" s="502"/>
    </row>
    <row r="52" spans="1:15" x14ac:dyDescent="0.25">
      <c r="A52" s="248" t="s">
        <v>1552</v>
      </c>
      <c r="B52" s="248" t="s">
        <v>1553</v>
      </c>
      <c r="C52" s="933">
        <v>314413</v>
      </c>
      <c r="D52" s="282" t="s">
        <v>572</v>
      </c>
      <c r="E52" s="502"/>
      <c r="F52" s="933">
        <v>314413</v>
      </c>
      <c r="G52" s="282" t="s">
        <v>572</v>
      </c>
      <c r="H52" s="502"/>
      <c r="I52" s="502"/>
      <c r="J52" s="502"/>
      <c r="K52" s="502"/>
      <c r="L52" s="502"/>
      <c r="M52" s="502"/>
      <c r="N52" s="502"/>
      <c r="O52" s="502"/>
    </row>
    <row r="53" spans="1:15" ht="15.75" thickBot="1" x14ac:dyDescent="0.3">
      <c r="A53" s="253" t="s">
        <v>1329</v>
      </c>
      <c r="B53" s="253" t="s">
        <v>1330</v>
      </c>
      <c r="C53" s="868">
        <v>-14111</v>
      </c>
      <c r="D53" s="219">
        <v>-13777</v>
      </c>
      <c r="E53" s="502"/>
      <c r="F53" s="868">
        <v>-84</v>
      </c>
      <c r="G53" s="219">
        <v>-78</v>
      </c>
      <c r="H53" s="502"/>
      <c r="I53" s="502"/>
      <c r="J53" s="502"/>
      <c r="K53" s="502"/>
      <c r="L53" s="502"/>
      <c r="M53" s="502"/>
      <c r="N53" s="502"/>
      <c r="O53" s="502"/>
    </row>
    <row r="54" spans="1:15" ht="15.75" thickBot="1" x14ac:dyDescent="0.3">
      <c r="A54" s="273" t="s">
        <v>105</v>
      </c>
      <c r="B54" s="273" t="s">
        <v>273</v>
      </c>
      <c r="C54" s="948">
        <v>537286</v>
      </c>
      <c r="D54" s="743">
        <v>209429</v>
      </c>
      <c r="E54" s="502"/>
      <c r="F54" s="948">
        <v>315443</v>
      </c>
      <c r="G54" s="743">
        <v>1114</v>
      </c>
      <c r="H54" s="502"/>
      <c r="I54" s="502"/>
      <c r="J54" s="502"/>
      <c r="K54" s="502"/>
      <c r="L54" s="502"/>
      <c r="M54" s="502"/>
      <c r="N54" s="502"/>
      <c r="O54" s="502"/>
    </row>
    <row r="57" spans="1:15" s="512" customFormat="1" ht="15.75" x14ac:dyDescent="0.25">
      <c r="A57" s="511" t="s">
        <v>987</v>
      </c>
      <c r="B57" s="511" t="s">
        <v>1551</v>
      </c>
      <c r="F57" s="28"/>
    </row>
    <row r="58" spans="1:15" s="512" customFormat="1" ht="16.5" thickBot="1" x14ac:dyDescent="0.3">
      <c r="A58" s="511"/>
      <c r="B58" s="533"/>
      <c r="G58" s="753" t="s">
        <v>1</v>
      </c>
    </row>
    <row r="59" spans="1:15" s="30" customFormat="1" ht="15.75" x14ac:dyDescent="0.25">
      <c r="A59" s="509"/>
      <c r="B59" s="509"/>
      <c r="C59" s="1613" t="s">
        <v>949</v>
      </c>
      <c r="D59" s="1613"/>
      <c r="E59" s="637"/>
      <c r="F59" s="1613" t="s">
        <v>1403</v>
      </c>
      <c r="G59" s="1613"/>
    </row>
    <row r="60" spans="1:15" s="502" customFormat="1" ht="15.75" customHeight="1" thickBot="1" x14ac:dyDescent="0.3">
      <c r="A60" s="99"/>
      <c r="B60" s="99"/>
      <c r="C60" s="1222">
        <v>43100</v>
      </c>
      <c r="D60" s="1223">
        <v>42735</v>
      </c>
      <c r="E60" s="1226"/>
      <c r="F60" s="1222">
        <v>43100</v>
      </c>
      <c r="G60" s="1223">
        <v>42735</v>
      </c>
    </row>
    <row r="61" spans="1:15" s="502" customFormat="1" ht="11.25" x14ac:dyDescent="0.25">
      <c r="A61" s="555"/>
      <c r="B61" s="555"/>
      <c r="C61" s="861"/>
      <c r="D61" s="99"/>
      <c r="F61" s="861"/>
      <c r="G61" s="99"/>
    </row>
    <row r="62" spans="1:15" s="502" customFormat="1" ht="11.25" x14ac:dyDescent="0.25">
      <c r="A62" s="498" t="s">
        <v>183</v>
      </c>
      <c r="B62" s="498" t="s">
        <v>330</v>
      </c>
      <c r="C62" s="987"/>
      <c r="D62" s="285"/>
      <c r="F62" s="987"/>
      <c r="G62" s="285"/>
    </row>
    <row r="63" spans="1:15" s="502" customFormat="1" ht="11.25" x14ac:dyDescent="0.25">
      <c r="A63" s="178" t="s">
        <v>184</v>
      </c>
      <c r="B63" s="178" t="s">
        <v>331</v>
      </c>
      <c r="C63" s="867">
        <v>75395</v>
      </c>
      <c r="D63" s="229">
        <v>54366</v>
      </c>
      <c r="F63" s="867">
        <v>68820</v>
      </c>
      <c r="G63" s="229">
        <v>66805</v>
      </c>
    </row>
    <row r="64" spans="1:15" s="502" customFormat="1" ht="11.25" x14ac:dyDescent="0.25">
      <c r="A64" s="248" t="s">
        <v>1125</v>
      </c>
      <c r="B64" s="248" t="s">
        <v>1126</v>
      </c>
      <c r="C64" s="839">
        <v>21094</v>
      </c>
      <c r="D64" s="184">
        <v>20275</v>
      </c>
      <c r="F64" s="839">
        <v>933</v>
      </c>
      <c r="G64" s="184">
        <v>465</v>
      </c>
    </row>
    <row r="65" spans="1:7" s="502" customFormat="1" ht="11.25" x14ac:dyDescent="0.25">
      <c r="A65" s="248" t="s">
        <v>185</v>
      </c>
      <c r="B65" s="248" t="s">
        <v>332</v>
      </c>
      <c r="C65" s="839">
        <v>10093</v>
      </c>
      <c r="D65" s="184">
        <v>7315</v>
      </c>
      <c r="F65" s="839">
        <v>4722</v>
      </c>
      <c r="G65" s="184">
        <v>3452</v>
      </c>
    </row>
    <row r="66" spans="1:7" s="502" customFormat="1" ht="12" thickBot="1" x14ac:dyDescent="0.3">
      <c r="A66" s="253" t="s">
        <v>186</v>
      </c>
      <c r="B66" s="253" t="s">
        <v>333</v>
      </c>
      <c r="C66" s="855">
        <v>9160</v>
      </c>
      <c r="D66" s="201">
        <v>6599</v>
      </c>
      <c r="F66" s="855">
        <v>4866</v>
      </c>
      <c r="G66" s="201">
        <v>475</v>
      </c>
    </row>
    <row r="67" spans="1:7" s="502" customFormat="1" ht="11.25" x14ac:dyDescent="0.25">
      <c r="A67" s="259" t="s">
        <v>187</v>
      </c>
      <c r="B67" s="259" t="s">
        <v>946</v>
      </c>
      <c r="C67" s="899">
        <v>115742</v>
      </c>
      <c r="D67" s="341">
        <v>88555</v>
      </c>
      <c r="F67" s="899">
        <v>79341</v>
      </c>
      <c r="G67" s="341">
        <v>71197</v>
      </c>
    </row>
    <row r="68" spans="1:7" s="502" customFormat="1" ht="11.25" x14ac:dyDescent="0.25">
      <c r="A68" s="308"/>
      <c r="B68" s="308"/>
      <c r="C68" s="825"/>
      <c r="D68" s="100"/>
      <c r="F68" s="825"/>
      <c r="G68" s="100"/>
    </row>
    <row r="69" spans="1:7" s="502" customFormat="1" ht="11.25" x14ac:dyDescent="0.25">
      <c r="A69" s="498" t="s">
        <v>188</v>
      </c>
      <c r="B69" s="498" t="s">
        <v>947</v>
      </c>
      <c r="C69" s="825"/>
      <c r="D69" s="100"/>
      <c r="F69" s="825"/>
      <c r="G69" s="100"/>
    </row>
    <row r="70" spans="1:7" s="502" customFormat="1" ht="11.25" x14ac:dyDescent="0.2">
      <c r="A70" s="178" t="s">
        <v>521</v>
      </c>
      <c r="B70" s="586" t="s">
        <v>334</v>
      </c>
      <c r="C70" s="955">
        <v>15919</v>
      </c>
      <c r="D70" s="418">
        <v>12536</v>
      </c>
      <c r="F70" s="955">
        <v>9025</v>
      </c>
      <c r="G70" s="418">
        <v>5583</v>
      </c>
    </row>
    <row r="71" spans="1:7" s="502" customFormat="1" ht="11.25" x14ac:dyDescent="0.25">
      <c r="A71" s="248" t="s">
        <v>189</v>
      </c>
      <c r="B71" s="248" t="s">
        <v>335</v>
      </c>
      <c r="C71" s="839">
        <v>11784</v>
      </c>
      <c r="D71" s="184">
        <v>12845</v>
      </c>
      <c r="F71" s="839">
        <v>4993</v>
      </c>
      <c r="G71" s="184">
        <v>7205</v>
      </c>
    </row>
    <row r="72" spans="1:7" s="502" customFormat="1" ht="12" thickBot="1" x14ac:dyDescent="0.3">
      <c r="A72" s="253" t="s">
        <v>851</v>
      </c>
      <c r="B72" s="253" t="s">
        <v>852</v>
      </c>
      <c r="C72" s="855">
        <v>3627</v>
      </c>
      <c r="D72" s="201">
        <v>3881</v>
      </c>
      <c r="F72" s="839">
        <v>1330</v>
      </c>
      <c r="G72" s="184">
        <v>1584</v>
      </c>
    </row>
    <row r="73" spans="1:7" s="502" customFormat="1" ht="12" thickBot="1" x14ac:dyDescent="0.3">
      <c r="A73" s="273" t="s">
        <v>190</v>
      </c>
      <c r="B73" s="273" t="s">
        <v>948</v>
      </c>
      <c r="C73" s="787">
        <v>31330</v>
      </c>
      <c r="D73" s="714">
        <v>29262</v>
      </c>
      <c r="F73" s="787">
        <v>15348</v>
      </c>
      <c r="G73" s="714">
        <v>14372</v>
      </c>
    </row>
    <row r="74" spans="1:7" s="502" customFormat="1" ht="12" thickBot="1" x14ac:dyDescent="0.3">
      <c r="A74" s="702" t="s">
        <v>191</v>
      </c>
      <c r="B74" s="702" t="s">
        <v>578</v>
      </c>
      <c r="C74" s="787">
        <v>147072</v>
      </c>
      <c r="D74" s="714">
        <v>117817</v>
      </c>
      <c r="F74" s="787">
        <v>94689</v>
      </c>
      <c r="G74" s="714">
        <v>85569</v>
      </c>
    </row>
    <row r="75" spans="1:7" s="252" customFormat="1" x14ac:dyDescent="0.25">
      <c r="A75" s="562"/>
      <c r="B75" s="562"/>
    </row>
    <row r="76" spans="1:7" s="252" customFormat="1" x14ac:dyDescent="0.25">
      <c r="A76" s="562"/>
      <c r="B76" s="562"/>
    </row>
    <row r="77" spans="1:7" s="252" customFormat="1" x14ac:dyDescent="0.25"/>
  </sheetData>
  <sheetProtection algorithmName="SHA-512" hashValue="ySLNwEbLpxofXtbo4r9g/tib60HCUnMjpP2L86A/Th4I4sUKelxB4XKO3mm+YDHheJX6GIhiPv0RPyiBG5Dg6g==" saltValue="dG91ANxCIIhO5Ueh7cT+Qw==" spinCount="100000" sheet="1" objects="1" scenarios="1"/>
  <mergeCells count="8">
    <mergeCell ref="C59:D59"/>
    <mergeCell ref="F59:G59"/>
    <mergeCell ref="C7:D7"/>
    <mergeCell ref="F7:G7"/>
    <mergeCell ref="C25:D25"/>
    <mergeCell ref="F25:G25"/>
    <mergeCell ref="C46:D46"/>
    <mergeCell ref="F46:G46"/>
  </mergeCells>
  <pageMargins left="0.7" right="0.7" top="0.75" bottom="0.75" header="0.3" footer="0.3"/>
  <pageSetup paperSize="9" scale="79" orientation="landscape" r:id="rId1"/>
  <colBreaks count="1" manualBreakCount="1">
    <brk id="7"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6"/>
  <sheetViews>
    <sheetView showGridLines="0" zoomScaleNormal="100" workbookViewId="0"/>
  </sheetViews>
  <sheetFormatPr defaultRowHeight="15" outlineLevelCol="1" x14ac:dyDescent="0.25"/>
  <cols>
    <col min="1" max="1" width="45.42578125" customWidth="1"/>
    <col min="2" max="2" width="42" customWidth="1" outlineLevel="1"/>
    <col min="3" max="4" width="15.85546875" customWidth="1"/>
    <col min="5" max="5" width="12" customWidth="1"/>
    <col min="6" max="7" width="15.85546875" customWidth="1"/>
  </cols>
  <sheetData>
    <row r="1" spans="1:7" x14ac:dyDescent="0.25">
      <c r="A1" t="s">
        <v>967</v>
      </c>
      <c r="B1" t="s">
        <v>968</v>
      </c>
    </row>
    <row r="2" spans="1:7" x14ac:dyDescent="0.25">
      <c r="A2" t="s">
        <v>970</v>
      </c>
      <c r="B2" t="s">
        <v>969</v>
      </c>
    </row>
    <row r="3" spans="1:7" ht="7.5" customHeight="1" x14ac:dyDescent="0.25"/>
    <row r="4" spans="1:7" s="512" customFormat="1" ht="15.75" x14ac:dyDescent="0.25">
      <c r="A4" s="511" t="s">
        <v>986</v>
      </c>
      <c r="B4" s="511" t="s">
        <v>336</v>
      </c>
      <c r="D4" s="28"/>
      <c r="E4" s="28"/>
    </row>
    <row r="5" spans="1:7" s="512" customFormat="1" ht="11.25" customHeight="1" x14ac:dyDescent="0.25">
      <c r="A5" s="511"/>
      <c r="B5" s="511"/>
    </row>
    <row r="6" spans="1:7" ht="36" x14ac:dyDescent="0.25">
      <c r="A6" s="1200" t="s">
        <v>1512</v>
      </c>
      <c r="B6" s="1200" t="s">
        <v>1321</v>
      </c>
      <c r="C6" s="28"/>
      <c r="D6" s="28"/>
      <c r="E6" s="28"/>
    </row>
    <row r="7" spans="1:7" ht="9.75" customHeight="1" x14ac:dyDescent="0.25">
      <c r="A7" s="1200"/>
      <c r="B7" s="1200"/>
      <c r="C7" s="28"/>
      <c r="D7" s="28"/>
      <c r="E7" s="28"/>
    </row>
    <row r="8" spans="1:7" s="502" customFormat="1" ht="21.75" thickBot="1" x14ac:dyDescent="0.25">
      <c r="A8" s="632" t="s">
        <v>1534</v>
      </c>
      <c r="B8" s="632" t="s">
        <v>1533</v>
      </c>
      <c r="C8" s="99"/>
      <c r="D8" s="1208" t="s">
        <v>1</v>
      </c>
      <c r="E8" s="99"/>
      <c r="F8" s="99"/>
      <c r="G8" s="99"/>
    </row>
    <row r="9" spans="1:7" s="31" customFormat="1" ht="16.5" customHeight="1" x14ac:dyDescent="0.25">
      <c r="A9" s="509"/>
      <c r="B9" s="509"/>
      <c r="C9" s="1613" t="s">
        <v>1403</v>
      </c>
      <c r="D9" s="1613"/>
      <c r="E9" s="1098"/>
    </row>
    <row r="10" spans="1:7" s="31" customFormat="1" ht="13.5" thickBot="1" x14ac:dyDescent="0.3">
      <c r="A10" s="99"/>
      <c r="B10" s="99"/>
      <c r="C10" s="1219">
        <v>2017</v>
      </c>
      <c r="D10" s="1220">
        <v>2016</v>
      </c>
      <c r="E10" s="372"/>
    </row>
    <row r="11" spans="1:7" s="502" customFormat="1" ht="11.25" x14ac:dyDescent="0.25">
      <c r="A11" s="632"/>
      <c r="B11" s="632"/>
      <c r="C11" s="861"/>
      <c r="D11" s="99"/>
      <c r="E11" s="99"/>
      <c r="F11" s="31"/>
      <c r="G11" s="99"/>
    </row>
    <row r="12" spans="1:7" s="31" customFormat="1" ht="15" customHeight="1" x14ac:dyDescent="0.25">
      <c r="A12" s="632" t="s">
        <v>1294</v>
      </c>
      <c r="B12" s="632" t="s">
        <v>1295</v>
      </c>
      <c r="C12" s="861"/>
      <c r="D12" s="99"/>
      <c r="E12" s="99"/>
    </row>
    <row r="13" spans="1:7" s="31" customFormat="1" ht="12" thickBot="1" x14ac:dyDescent="0.3">
      <c r="A13" s="814" t="s">
        <v>1296</v>
      </c>
      <c r="B13" s="814" t="s">
        <v>1297</v>
      </c>
      <c r="C13" s="1061">
        <v>155338</v>
      </c>
      <c r="D13" s="815">
        <v>172522</v>
      </c>
      <c r="E13" s="397"/>
    </row>
    <row r="14" spans="1:7" s="53" customFormat="1" ht="12.75" customHeight="1" x14ac:dyDescent="0.25">
      <c r="A14" s="270"/>
      <c r="B14" s="270"/>
      <c r="C14" s="901">
        <v>155338</v>
      </c>
      <c r="D14" s="343">
        <v>172522</v>
      </c>
      <c r="E14" s="284"/>
      <c r="F14" s="31"/>
    </row>
    <row r="15" spans="1:7" s="31" customFormat="1" ht="12" x14ac:dyDescent="0.25">
      <c r="A15" s="803"/>
      <c r="B15" s="803"/>
      <c r="C15" s="855"/>
      <c r="D15" s="201"/>
      <c r="E15" s="397"/>
    </row>
    <row r="16" spans="1:7" s="31" customFormat="1" ht="18" customHeight="1" x14ac:dyDescent="0.25">
      <c r="A16" s="632" t="s">
        <v>1298</v>
      </c>
      <c r="B16" s="632" t="s">
        <v>1299</v>
      </c>
      <c r="C16" s="861"/>
      <c r="D16" s="99"/>
      <c r="E16" s="99"/>
    </row>
    <row r="17" spans="1:12" s="31" customFormat="1" ht="12" thickBot="1" x14ac:dyDescent="0.3">
      <c r="A17" s="814" t="s">
        <v>1296</v>
      </c>
      <c r="B17" s="814" t="s">
        <v>1297</v>
      </c>
      <c r="C17" s="1061">
        <v>344038</v>
      </c>
      <c r="D17" s="815">
        <v>360421</v>
      </c>
      <c r="E17" s="397"/>
    </row>
    <row r="18" spans="1:12" s="53" customFormat="1" ht="12.75" customHeight="1" x14ac:dyDescent="0.25">
      <c r="A18" s="270"/>
      <c r="B18" s="270"/>
      <c r="C18" s="901">
        <v>344038</v>
      </c>
      <c r="D18" s="343">
        <v>360421</v>
      </c>
      <c r="E18" s="284"/>
    </row>
    <row r="19" spans="1:12" s="31" customFormat="1" ht="33.75" x14ac:dyDescent="0.25">
      <c r="A19" s="817" t="s">
        <v>1300</v>
      </c>
      <c r="B19" s="817" t="s">
        <v>1301</v>
      </c>
      <c r="C19" s="855"/>
      <c r="D19" s="201"/>
      <c r="E19" s="397"/>
    </row>
    <row r="20" spans="1:12" s="31" customFormat="1" ht="11.25" x14ac:dyDescent="0.25">
      <c r="A20" s="178" t="s">
        <v>1302</v>
      </c>
      <c r="B20" s="178" t="s">
        <v>1303</v>
      </c>
      <c r="C20" s="867">
        <v>332172</v>
      </c>
      <c r="D20" s="229">
        <v>346753</v>
      </c>
      <c r="E20" s="397"/>
    </row>
    <row r="21" spans="1:12" s="31" customFormat="1" ht="12" thickBot="1" x14ac:dyDescent="0.3">
      <c r="A21" s="814" t="s">
        <v>1304</v>
      </c>
      <c r="B21" s="814" t="s">
        <v>1305</v>
      </c>
      <c r="C21" s="1061">
        <v>520</v>
      </c>
      <c r="D21" s="815">
        <v>534</v>
      </c>
      <c r="E21" s="397"/>
    </row>
    <row r="22" spans="1:12" s="53" customFormat="1" ht="12.75" customHeight="1" thickBot="1" x14ac:dyDescent="0.3">
      <c r="A22" s="457"/>
      <c r="B22" s="457"/>
      <c r="C22" s="1016">
        <v>332692</v>
      </c>
      <c r="D22" s="457">
        <v>347287</v>
      </c>
      <c r="E22" s="398"/>
    </row>
    <row r="23" spans="1:12" s="28" customFormat="1" x14ac:dyDescent="0.25">
      <c r="A23" s="804"/>
      <c r="B23" s="804"/>
      <c r="C23" s="804"/>
    </row>
    <row r="24" spans="1:12" s="55" customFormat="1" ht="13.5" thickBot="1" x14ac:dyDescent="0.3">
      <c r="A24" s="805"/>
      <c r="B24" s="805"/>
      <c r="G24" s="753" t="s">
        <v>1</v>
      </c>
      <c r="K24" s="805"/>
      <c r="L24" s="805"/>
    </row>
    <row r="25" spans="1:12" s="30" customFormat="1" ht="15.75" customHeight="1" x14ac:dyDescent="0.25">
      <c r="A25" s="509"/>
      <c r="B25" s="509"/>
      <c r="C25" s="1613" t="s">
        <v>949</v>
      </c>
      <c r="D25" s="1613"/>
      <c r="E25" s="1098"/>
      <c r="F25" s="1613" t="s">
        <v>1403</v>
      </c>
      <c r="G25" s="1613"/>
    </row>
    <row r="26" spans="1:12" s="502" customFormat="1" ht="15.75" customHeight="1" thickBot="1" x14ac:dyDescent="0.3">
      <c r="A26" s="99"/>
      <c r="B26" s="99"/>
      <c r="C26" s="1216">
        <v>43100</v>
      </c>
      <c r="D26" s="1217">
        <v>42735</v>
      </c>
      <c r="E26" s="1218"/>
      <c r="F26" s="1216">
        <v>43100</v>
      </c>
      <c r="G26" s="1217">
        <v>42735</v>
      </c>
    </row>
    <row r="27" spans="1:12" s="502" customFormat="1" ht="11.25" x14ac:dyDescent="0.25">
      <c r="A27" s="632"/>
      <c r="B27" s="632"/>
      <c r="C27" s="861"/>
      <c r="D27" s="99"/>
      <c r="E27" s="99"/>
      <c r="F27" s="861"/>
      <c r="G27" s="99"/>
    </row>
    <row r="28" spans="1:12" s="502" customFormat="1" ht="31.5" x14ac:dyDescent="0.25">
      <c r="A28" s="632" t="s">
        <v>1541</v>
      </c>
      <c r="B28" s="632" t="s">
        <v>1540</v>
      </c>
      <c r="C28" s="861"/>
      <c r="D28" s="99"/>
      <c r="E28" s="99"/>
      <c r="F28" s="861"/>
      <c r="G28" s="99"/>
    </row>
    <row r="29" spans="1:12" s="502" customFormat="1" ht="11.25" x14ac:dyDescent="0.25">
      <c r="A29" s="790" t="s">
        <v>1306</v>
      </c>
      <c r="B29" s="790" t="s">
        <v>1320</v>
      </c>
      <c r="C29" s="861"/>
      <c r="D29" s="99"/>
      <c r="E29" s="99"/>
      <c r="F29" s="861"/>
      <c r="G29" s="99"/>
    </row>
    <row r="30" spans="1:12" s="502" customFormat="1" ht="12" thickBot="1" x14ac:dyDescent="0.3">
      <c r="A30" s="814" t="s">
        <v>1535</v>
      </c>
      <c r="B30" s="814" t="s">
        <v>1536</v>
      </c>
      <c r="C30" s="1061" t="s">
        <v>572</v>
      </c>
      <c r="D30" s="815" t="s">
        <v>572</v>
      </c>
      <c r="E30" s="397"/>
      <c r="F30" s="1061" t="s">
        <v>572</v>
      </c>
      <c r="G30" s="815">
        <v>16682</v>
      </c>
    </row>
    <row r="31" spans="1:12" s="502" customFormat="1" ht="11.25" x14ac:dyDescent="0.25">
      <c r="A31" s="270"/>
      <c r="B31" s="270"/>
      <c r="C31" s="901" t="s">
        <v>572</v>
      </c>
      <c r="D31" s="343" t="s">
        <v>572</v>
      </c>
      <c r="E31" s="284"/>
      <c r="F31" s="980" t="s">
        <v>572</v>
      </c>
      <c r="G31" s="301">
        <v>16682</v>
      </c>
    </row>
    <row r="32" spans="1:12" s="502" customFormat="1" ht="11.25" x14ac:dyDescent="0.25">
      <c r="A32" s="632"/>
      <c r="B32" s="632"/>
      <c r="C32" s="861"/>
      <c r="D32" s="99"/>
      <c r="E32" s="99"/>
      <c r="F32" s="861"/>
      <c r="G32" s="99"/>
    </row>
    <row r="33" spans="1:7" s="502" customFormat="1" ht="11.25" x14ac:dyDescent="0.25">
      <c r="A33" s="790" t="s">
        <v>1307</v>
      </c>
      <c r="B33" s="790" t="s">
        <v>1542</v>
      </c>
      <c r="C33" s="861"/>
      <c r="D33" s="99"/>
      <c r="E33" s="99"/>
      <c r="F33" s="861"/>
      <c r="G33" s="99"/>
    </row>
    <row r="34" spans="1:7" s="502" customFormat="1" ht="12" thickBot="1" x14ac:dyDescent="0.3">
      <c r="A34" s="814" t="s">
        <v>1537</v>
      </c>
      <c r="B34" s="814" t="s">
        <v>1538</v>
      </c>
      <c r="C34" s="1064" t="s">
        <v>572</v>
      </c>
      <c r="D34" s="816" t="s">
        <v>572</v>
      </c>
      <c r="E34" s="285"/>
      <c r="F34" s="1061">
        <v>17435</v>
      </c>
      <c r="G34" s="815">
        <v>14851</v>
      </c>
    </row>
    <row r="35" spans="1:7" s="502" customFormat="1" ht="11.25" x14ac:dyDescent="0.25">
      <c r="A35" s="270"/>
      <c r="B35" s="270"/>
      <c r="C35" s="901" t="s">
        <v>572</v>
      </c>
      <c r="D35" s="343" t="s">
        <v>572</v>
      </c>
      <c r="E35" s="284"/>
      <c r="F35" s="980">
        <v>17435</v>
      </c>
      <c r="G35" s="301">
        <v>14851</v>
      </c>
    </row>
    <row r="36" spans="1:7" s="502" customFormat="1" ht="11.25" x14ac:dyDescent="0.25">
      <c r="A36" s="632"/>
      <c r="B36" s="632"/>
      <c r="C36" s="861"/>
      <c r="D36" s="99"/>
      <c r="E36" s="99"/>
      <c r="F36" s="861"/>
      <c r="G36" s="99"/>
    </row>
    <row r="37" spans="1:7" s="502" customFormat="1" ht="11.25" x14ac:dyDescent="0.25">
      <c r="A37" s="790" t="s">
        <v>1308</v>
      </c>
      <c r="B37" s="790" t="s">
        <v>1543</v>
      </c>
      <c r="C37" s="861"/>
      <c r="D37" s="99"/>
      <c r="E37" s="99"/>
      <c r="F37" s="861"/>
      <c r="G37" s="99"/>
    </row>
    <row r="38" spans="1:7" s="502" customFormat="1" ht="11.25" x14ac:dyDescent="0.25">
      <c r="A38" s="178" t="s">
        <v>1296</v>
      </c>
      <c r="B38" s="178" t="s">
        <v>1297</v>
      </c>
      <c r="C38" s="1021" t="s">
        <v>572</v>
      </c>
      <c r="D38" s="279" t="s">
        <v>572</v>
      </c>
      <c r="E38" s="285"/>
      <c r="F38" s="1021">
        <v>30994</v>
      </c>
      <c r="G38" s="279">
        <v>33267</v>
      </c>
    </row>
    <row r="39" spans="1:7" s="502" customFormat="1" ht="12" thickBot="1" x14ac:dyDescent="0.3">
      <c r="A39" s="537" t="s">
        <v>1309</v>
      </c>
      <c r="B39" s="537" t="s">
        <v>1310</v>
      </c>
      <c r="C39" s="1065">
        <v>281</v>
      </c>
      <c r="D39" s="628">
        <v>236</v>
      </c>
      <c r="E39" s="285"/>
      <c r="F39" s="842">
        <v>88</v>
      </c>
      <c r="G39" s="400">
        <v>98</v>
      </c>
    </row>
    <row r="40" spans="1:7" s="53" customFormat="1" ht="15" customHeight="1" thickBot="1" x14ac:dyDescent="0.3">
      <c r="A40" s="457"/>
      <c r="B40" s="457"/>
      <c r="C40" s="1016">
        <v>281</v>
      </c>
      <c r="D40" s="457">
        <v>236</v>
      </c>
      <c r="E40" s="398"/>
      <c r="F40" s="916">
        <v>31082</v>
      </c>
      <c r="G40" s="401">
        <v>33365</v>
      </c>
    </row>
    <row r="41" spans="1:7" s="806" customFormat="1" ht="14.25" x14ac:dyDescent="0.25">
      <c r="A41" s="802" t="s">
        <v>1539</v>
      </c>
      <c r="B41" s="802" t="s">
        <v>1311</v>
      </c>
      <c r="C41" s="807"/>
      <c r="D41" s="807"/>
      <c r="E41" s="807"/>
    </row>
    <row r="42" spans="1:7" s="806" customFormat="1" ht="14.25" x14ac:dyDescent="0.25">
      <c r="A42" s="802" t="s">
        <v>1312</v>
      </c>
      <c r="B42" s="802" t="s">
        <v>1313</v>
      </c>
      <c r="C42" s="807"/>
      <c r="D42" s="807"/>
      <c r="E42" s="807"/>
    </row>
    <row r="43" spans="1:7" s="806" customFormat="1" ht="4.5" customHeight="1" x14ac:dyDescent="0.25">
      <c r="A43" s="802"/>
      <c r="B43" s="802"/>
      <c r="C43" s="807"/>
      <c r="D43" s="807"/>
      <c r="E43" s="807"/>
    </row>
    <row r="44" spans="1:7" s="806" customFormat="1" ht="21" customHeight="1" thickBot="1" x14ac:dyDescent="0.25">
      <c r="A44" s="807"/>
      <c r="B44" s="807"/>
      <c r="C44" s="807"/>
      <c r="D44" s="807"/>
      <c r="E44" s="807"/>
      <c r="G44" s="1208" t="s">
        <v>1</v>
      </c>
    </row>
    <row r="45" spans="1:7" s="30" customFormat="1" ht="16.5" customHeight="1" x14ac:dyDescent="0.25">
      <c r="A45" s="509"/>
      <c r="B45" s="509"/>
      <c r="C45" s="1613" t="s">
        <v>949</v>
      </c>
      <c r="D45" s="1613"/>
      <c r="E45" s="1098"/>
      <c r="F45" s="1613" t="s">
        <v>1403</v>
      </c>
      <c r="G45" s="1613"/>
    </row>
    <row r="46" spans="1:7" s="502" customFormat="1" ht="15.75" customHeight="1" thickBot="1" x14ac:dyDescent="0.3">
      <c r="A46" s="99"/>
      <c r="B46" s="99"/>
      <c r="C46" s="1216">
        <v>43100</v>
      </c>
      <c r="D46" s="1217">
        <v>42735</v>
      </c>
      <c r="E46" s="1102"/>
      <c r="F46" s="1216">
        <v>43100</v>
      </c>
      <c r="G46" s="1217">
        <v>42735</v>
      </c>
    </row>
    <row r="47" spans="1:7" s="502" customFormat="1" ht="11.25" x14ac:dyDescent="0.25">
      <c r="A47" s="632"/>
      <c r="B47" s="632"/>
      <c r="C47" s="861"/>
      <c r="D47" s="99"/>
      <c r="E47" s="99"/>
      <c r="F47" s="861"/>
      <c r="G47" s="99"/>
    </row>
    <row r="48" spans="1:7" s="502" customFormat="1" ht="21" x14ac:dyDescent="0.25">
      <c r="A48" s="632" t="s">
        <v>1314</v>
      </c>
      <c r="B48" s="632" t="s">
        <v>1315</v>
      </c>
      <c r="C48" s="861"/>
      <c r="D48" s="99"/>
      <c r="E48" s="99"/>
      <c r="F48" s="861"/>
      <c r="G48" s="99"/>
    </row>
    <row r="49" spans="1:13" s="806" customFormat="1" ht="22.5" x14ac:dyDescent="0.2">
      <c r="A49" s="178" t="s">
        <v>1546</v>
      </c>
      <c r="B49" s="178" t="s">
        <v>1544</v>
      </c>
      <c r="C49" s="1028" t="s">
        <v>572</v>
      </c>
      <c r="D49" s="712" t="s">
        <v>572</v>
      </c>
      <c r="E49" s="285"/>
      <c r="F49" s="1028">
        <v>3199</v>
      </c>
      <c r="G49" s="712">
        <v>5581</v>
      </c>
    </row>
    <row r="50" spans="1:13" s="806" customFormat="1" thickBot="1" x14ac:dyDescent="0.3">
      <c r="A50" s="312" t="s">
        <v>1547</v>
      </c>
      <c r="B50" s="312" t="s">
        <v>1545</v>
      </c>
      <c r="C50" s="857" t="s">
        <v>572</v>
      </c>
      <c r="D50" s="397" t="s">
        <v>572</v>
      </c>
      <c r="E50" s="397"/>
      <c r="F50" s="857">
        <v>1875</v>
      </c>
      <c r="G50" s="397">
        <v>2170</v>
      </c>
    </row>
    <row r="51" spans="1:13" s="53" customFormat="1" ht="15" customHeight="1" thickBot="1" x14ac:dyDescent="0.3">
      <c r="A51" s="273"/>
      <c r="B51" s="273"/>
      <c r="C51" s="787" t="s">
        <v>572</v>
      </c>
      <c r="D51" s="714" t="s">
        <v>572</v>
      </c>
      <c r="E51" s="284"/>
      <c r="F51" s="787">
        <v>5074</v>
      </c>
      <c r="G51" s="714">
        <v>7751</v>
      </c>
    </row>
    <row r="52" spans="1:13" s="806" customFormat="1" ht="14.25" x14ac:dyDescent="0.25">
      <c r="A52" s="807"/>
      <c r="B52" s="807"/>
      <c r="C52" s="1062"/>
      <c r="D52" s="807"/>
      <c r="E52" s="807"/>
      <c r="F52" s="1063"/>
    </row>
    <row r="53" spans="1:13" s="502" customFormat="1" ht="21" x14ac:dyDescent="0.25">
      <c r="A53" s="632" t="s">
        <v>1316</v>
      </c>
      <c r="B53" s="632" t="s">
        <v>1317</v>
      </c>
      <c r="C53" s="861"/>
      <c r="D53" s="99"/>
      <c r="E53" s="99"/>
      <c r="F53" s="861"/>
      <c r="G53" s="99"/>
    </row>
    <row r="54" spans="1:13" s="806" customFormat="1" ht="23.25" thickBot="1" x14ac:dyDescent="0.25">
      <c r="A54" s="318" t="s">
        <v>1318</v>
      </c>
      <c r="B54" s="312" t="s">
        <v>1319</v>
      </c>
      <c r="C54" s="857" t="s">
        <v>572</v>
      </c>
      <c r="D54" s="397" t="s">
        <v>572</v>
      </c>
      <c r="E54" s="397"/>
      <c r="F54" s="857">
        <v>1176</v>
      </c>
      <c r="G54" s="397">
        <v>826</v>
      </c>
    </row>
    <row r="55" spans="1:13" s="53" customFormat="1" ht="15" customHeight="1" thickBot="1" x14ac:dyDescent="0.3">
      <c r="A55" s="273"/>
      <c r="B55" s="273"/>
      <c r="C55" s="787" t="s">
        <v>572</v>
      </c>
      <c r="D55" s="714" t="s">
        <v>572</v>
      </c>
      <c r="E55" s="284"/>
      <c r="F55" s="787">
        <v>1176</v>
      </c>
      <c r="G55" s="714">
        <v>826</v>
      </c>
    </row>
    <row r="56" spans="1:13" s="806" customFormat="1" ht="14.25" x14ac:dyDescent="0.25">
      <c r="A56" s="807"/>
      <c r="B56" s="807"/>
      <c r="C56" s="807"/>
      <c r="D56" s="807"/>
      <c r="E56" s="807"/>
    </row>
    <row r="57" spans="1:13" x14ac:dyDescent="0.25">
      <c r="A57" s="14"/>
      <c r="B57" s="28"/>
      <c r="C57" s="28"/>
      <c r="D57" s="28"/>
      <c r="E57" s="28"/>
    </row>
    <row r="58" spans="1:13" ht="29.25" x14ac:dyDescent="0.25">
      <c r="A58" s="1212" t="s">
        <v>1531</v>
      </c>
      <c r="B58" s="1212" t="s">
        <v>1532</v>
      </c>
      <c r="C58" s="28"/>
      <c r="D58" s="28"/>
      <c r="E58" s="28"/>
      <c r="L58" s="510"/>
      <c r="M58" s="510"/>
    </row>
    <row r="59" spans="1:13" x14ac:dyDescent="0.25">
      <c r="A59" s="776"/>
      <c r="B59" s="776"/>
      <c r="C59" s="28"/>
      <c r="D59" s="28"/>
      <c r="E59" s="28"/>
      <c r="L59" s="510"/>
      <c r="M59" s="510"/>
    </row>
    <row r="60" spans="1:13" ht="24.75" customHeight="1" thickBot="1" x14ac:dyDescent="0.3">
      <c r="A60" s="476" t="s">
        <v>1529</v>
      </c>
      <c r="B60" s="476" t="s">
        <v>1528</v>
      </c>
      <c r="C60" s="28"/>
      <c r="D60" s="28"/>
      <c r="E60" s="1208"/>
    </row>
    <row r="61" spans="1:13" ht="16.5" thickTop="1" thickBot="1" x14ac:dyDescent="0.3">
      <c r="A61" s="1089" t="s">
        <v>1346</v>
      </c>
      <c r="B61" s="1089" t="s">
        <v>1347</v>
      </c>
      <c r="C61" s="1615" t="s">
        <v>1348</v>
      </c>
      <c r="D61" s="1615" t="s">
        <v>1356</v>
      </c>
      <c r="E61" s="1089" t="s">
        <v>1349</v>
      </c>
    </row>
    <row r="62" spans="1:13" ht="24" thickTop="1" thickBot="1" x14ac:dyDescent="0.3">
      <c r="A62" s="1089" t="s">
        <v>1358</v>
      </c>
      <c r="B62" s="1089" t="s">
        <v>1359</v>
      </c>
      <c r="C62" s="1616"/>
      <c r="D62" s="1616"/>
      <c r="E62" s="1089" t="s">
        <v>1360</v>
      </c>
    </row>
    <row r="63" spans="1:13" x14ac:dyDescent="0.25">
      <c r="A63" s="1094"/>
      <c r="B63" s="1208" t="s">
        <v>1</v>
      </c>
      <c r="C63" s="1094"/>
      <c r="D63" s="1108"/>
      <c r="E63" s="953"/>
    </row>
    <row r="64" spans="1:13" ht="22.5" x14ac:dyDescent="0.25">
      <c r="A64" s="1214">
        <v>40634</v>
      </c>
      <c r="B64" s="1213">
        <v>97467</v>
      </c>
      <c r="C64" s="1094" t="s">
        <v>1353</v>
      </c>
      <c r="D64" s="1094" t="s">
        <v>1530</v>
      </c>
      <c r="E64" s="1215">
        <v>45748</v>
      </c>
    </row>
    <row r="65" spans="1:5" x14ac:dyDescent="0.25">
      <c r="A65" s="1210">
        <v>41520</v>
      </c>
      <c r="B65" s="657">
        <v>44109</v>
      </c>
      <c r="C65" s="1211" t="s">
        <v>1350</v>
      </c>
      <c r="D65" s="1211" t="s">
        <v>1357</v>
      </c>
      <c r="E65" s="1210">
        <v>45179</v>
      </c>
    </row>
    <row r="66" spans="1:5" ht="15.75" thickBot="1" x14ac:dyDescent="0.3">
      <c r="A66" s="1095" t="s">
        <v>1351</v>
      </c>
      <c r="B66" s="1209">
        <v>156500</v>
      </c>
      <c r="C66" s="1095" t="s">
        <v>1350</v>
      </c>
      <c r="D66" s="1095" t="s">
        <v>1357</v>
      </c>
      <c r="E66" s="1090">
        <v>46183</v>
      </c>
    </row>
    <row r="67" spans="1:5" ht="15.75" thickBot="1" x14ac:dyDescent="0.3">
      <c r="A67" s="1096" t="s">
        <v>277</v>
      </c>
      <c r="B67" s="784">
        <v>298076</v>
      </c>
      <c r="C67" s="1091"/>
      <c r="D67" s="1091"/>
      <c r="E67" s="1091"/>
    </row>
    <row r="68" spans="1:5" x14ac:dyDescent="0.25">
      <c r="A68" s="14"/>
    </row>
    <row r="69" spans="1:5" ht="36.75" thickBot="1" x14ac:dyDescent="0.3">
      <c r="A69" s="1201" t="s">
        <v>1527</v>
      </c>
      <c r="B69" s="477" t="s">
        <v>1526</v>
      </c>
      <c r="C69" s="28"/>
      <c r="D69" s="1208" t="s">
        <v>1</v>
      </c>
      <c r="E69" s="28"/>
    </row>
    <row r="70" spans="1:5" x14ac:dyDescent="0.25">
      <c r="A70" s="777"/>
      <c r="B70" s="777"/>
      <c r="C70" s="1613" t="s">
        <v>1403</v>
      </c>
      <c r="D70" s="1613"/>
      <c r="E70" s="1103"/>
    </row>
    <row r="71" spans="1:5" ht="15.75" thickBot="1" x14ac:dyDescent="0.3">
      <c r="A71" s="106"/>
      <c r="B71" s="778"/>
      <c r="C71" s="1205">
        <v>43100</v>
      </c>
      <c r="D71" s="1206">
        <v>42735</v>
      </c>
      <c r="E71" s="778"/>
    </row>
    <row r="72" spans="1:5" x14ac:dyDescent="0.25">
      <c r="A72" s="330" t="s">
        <v>1266</v>
      </c>
      <c r="B72" s="330" t="s">
        <v>1267</v>
      </c>
      <c r="C72" s="1067"/>
      <c r="D72" s="1068"/>
      <c r="E72" s="1068"/>
    </row>
    <row r="73" spans="1:5" x14ac:dyDescent="0.25">
      <c r="A73" s="785" t="s">
        <v>1268</v>
      </c>
      <c r="B73" s="785" t="s">
        <v>1269</v>
      </c>
      <c r="C73" s="786">
        <v>8490</v>
      </c>
      <c r="D73" s="345">
        <v>12931</v>
      </c>
      <c r="E73" s="96"/>
    </row>
    <row r="74" spans="1:5" x14ac:dyDescent="0.25">
      <c r="A74" s="379" t="s">
        <v>1270</v>
      </c>
      <c r="B74" s="379" t="s">
        <v>1271</v>
      </c>
      <c r="C74" s="780">
        <v>64790</v>
      </c>
      <c r="D74" s="190">
        <v>30866</v>
      </c>
      <c r="E74" s="96"/>
    </row>
    <row r="75" spans="1:5" ht="15.75" thickBot="1" x14ac:dyDescent="0.3">
      <c r="A75" s="781" t="s">
        <v>1272</v>
      </c>
      <c r="B75" s="781" t="s">
        <v>1273</v>
      </c>
      <c r="C75" s="782">
        <v>20603</v>
      </c>
      <c r="D75" s="226">
        <v>31432</v>
      </c>
      <c r="E75" s="96"/>
    </row>
    <row r="76" spans="1:5" ht="15.75" thickBot="1" x14ac:dyDescent="0.3">
      <c r="A76" s="783"/>
      <c r="B76" s="328"/>
      <c r="C76" s="784">
        <v>93883</v>
      </c>
      <c r="D76" s="328">
        <v>75229</v>
      </c>
      <c r="E76" s="1099"/>
    </row>
    <row r="77" spans="1:5" x14ac:dyDescent="0.25">
      <c r="A77" s="252"/>
      <c r="B77" s="252"/>
      <c r="C77" s="252"/>
      <c r="D77" s="252"/>
      <c r="E77" s="252"/>
    </row>
    <row r="78" spans="1:5" x14ac:dyDescent="0.25">
      <c r="A78" s="252"/>
      <c r="B78" s="252"/>
      <c r="C78" s="252"/>
      <c r="D78" s="252"/>
      <c r="E78" s="252"/>
    </row>
    <row r="79" spans="1:5" ht="24.75" thickBot="1" x14ac:dyDescent="0.3">
      <c r="A79" s="476" t="s">
        <v>1524</v>
      </c>
      <c r="B79" s="476" t="s">
        <v>1523</v>
      </c>
      <c r="C79" s="252"/>
      <c r="D79" s="252"/>
      <c r="E79" s="1208"/>
    </row>
    <row r="80" spans="1:5" ht="16.5" thickTop="1" thickBot="1" x14ac:dyDescent="0.3">
      <c r="A80" s="1089" t="s">
        <v>1346</v>
      </c>
      <c r="B80" s="1089" t="s">
        <v>1347</v>
      </c>
      <c r="C80" s="1615" t="s">
        <v>1348</v>
      </c>
      <c r="D80" s="1615" t="s">
        <v>1356</v>
      </c>
      <c r="E80" s="1089" t="s">
        <v>1349</v>
      </c>
    </row>
    <row r="81" spans="1:9" ht="24" thickTop="1" thickBot="1" x14ac:dyDescent="0.3">
      <c r="A81" s="1089" t="s">
        <v>1358</v>
      </c>
      <c r="B81" s="1089" t="s">
        <v>1359</v>
      </c>
      <c r="C81" s="1616"/>
      <c r="D81" s="1616"/>
      <c r="E81" s="1089" t="s">
        <v>1360</v>
      </c>
    </row>
    <row r="82" spans="1:9" x14ac:dyDescent="0.25">
      <c r="B82" s="1208" t="s">
        <v>1</v>
      </c>
    </row>
    <row r="83" spans="1:9" ht="22.5" x14ac:dyDescent="0.25">
      <c r="A83" s="1214" t="s">
        <v>1352</v>
      </c>
      <c r="B83" s="1221">
        <v>316271</v>
      </c>
      <c r="C83" s="1094" t="s">
        <v>1353</v>
      </c>
      <c r="D83" s="1094" t="s">
        <v>1361</v>
      </c>
      <c r="E83" s="1214">
        <v>45901</v>
      </c>
    </row>
    <row r="84" spans="1:9" x14ac:dyDescent="0.25">
      <c r="A84" s="1210">
        <v>41311</v>
      </c>
      <c r="B84" s="657">
        <v>42686</v>
      </c>
      <c r="C84" s="1211" t="s">
        <v>1350</v>
      </c>
      <c r="D84" s="1211" t="s">
        <v>1357</v>
      </c>
      <c r="E84" s="1210">
        <v>44814</v>
      </c>
    </row>
    <row r="85" spans="1:9" x14ac:dyDescent="0.25">
      <c r="A85" s="1210">
        <v>41535</v>
      </c>
      <c r="B85" s="657">
        <v>42686</v>
      </c>
      <c r="C85" s="1211" t="s">
        <v>1350</v>
      </c>
      <c r="D85" s="1211" t="s">
        <v>1357</v>
      </c>
      <c r="E85" s="1210">
        <v>45148</v>
      </c>
    </row>
    <row r="86" spans="1:9" x14ac:dyDescent="0.25">
      <c r="A86" s="1210">
        <v>41941</v>
      </c>
      <c r="B86" s="657">
        <v>90000</v>
      </c>
      <c r="C86" s="1211" t="s">
        <v>1350</v>
      </c>
      <c r="D86" s="1211" t="s">
        <v>1357</v>
      </c>
      <c r="E86" s="1210">
        <v>45545</v>
      </c>
    </row>
    <row r="87" spans="1:9" x14ac:dyDescent="0.25">
      <c r="A87" s="1210">
        <v>42297</v>
      </c>
      <c r="B87" s="657">
        <v>90000</v>
      </c>
      <c r="C87" s="1211" t="s">
        <v>1350</v>
      </c>
      <c r="D87" s="1211" t="s">
        <v>1357</v>
      </c>
      <c r="E87" s="1210">
        <v>45951</v>
      </c>
    </row>
    <row r="88" spans="1:9" x14ac:dyDescent="0.25">
      <c r="A88" s="1210">
        <v>42604</v>
      </c>
      <c r="B88" s="657">
        <v>60000</v>
      </c>
      <c r="C88" s="1211" t="s">
        <v>1350</v>
      </c>
      <c r="D88" s="1211" t="s">
        <v>1357</v>
      </c>
      <c r="E88" s="1210">
        <v>46256</v>
      </c>
    </row>
    <row r="89" spans="1:9" ht="15.75" thickBot="1" x14ac:dyDescent="0.3">
      <c r="A89" s="1092">
        <v>42604</v>
      </c>
      <c r="B89" s="1207">
        <v>50000</v>
      </c>
      <c r="C89" s="1095" t="s">
        <v>1350</v>
      </c>
      <c r="D89" s="1095" t="s">
        <v>1357</v>
      </c>
      <c r="E89" s="1092">
        <v>42900</v>
      </c>
    </row>
    <row r="90" spans="1:9" ht="15.75" thickBot="1" x14ac:dyDescent="0.3">
      <c r="A90" s="1096" t="s">
        <v>1525</v>
      </c>
      <c r="B90" s="1016">
        <v>691643</v>
      </c>
      <c r="C90" s="1091"/>
      <c r="D90" s="1091"/>
      <c r="E90" s="1091"/>
      <c r="H90" s="4"/>
      <c r="I90" s="4"/>
    </row>
    <row r="91" spans="1:9" x14ac:dyDescent="0.25">
      <c r="G91" s="4"/>
      <c r="H91" s="4"/>
    </row>
    <row r="92" spans="1:9" ht="24.75" thickBot="1" x14ac:dyDescent="0.3">
      <c r="A92" s="476" t="s">
        <v>1521</v>
      </c>
      <c r="B92" s="476" t="s">
        <v>1522</v>
      </c>
      <c r="C92" s="475"/>
      <c r="D92" s="1208" t="s">
        <v>1</v>
      </c>
      <c r="E92" s="252"/>
    </row>
    <row r="93" spans="1:9" x14ac:dyDescent="0.25">
      <c r="A93" s="777"/>
      <c r="B93" s="777"/>
      <c r="C93" s="1613" t="s">
        <v>1403</v>
      </c>
      <c r="D93" s="1613"/>
      <c r="E93" s="1103"/>
    </row>
    <row r="94" spans="1:9" ht="15.75" thickBot="1" x14ac:dyDescent="0.3">
      <c r="A94" s="106"/>
      <c r="B94" s="106"/>
      <c r="C94" s="1205">
        <f>C71</f>
        <v>43100</v>
      </c>
      <c r="D94" s="1206">
        <f>D71</f>
        <v>42735</v>
      </c>
      <c r="E94" s="778"/>
    </row>
    <row r="95" spans="1:9" x14ac:dyDescent="0.25">
      <c r="A95" s="330" t="s">
        <v>1274</v>
      </c>
      <c r="B95" s="330" t="s">
        <v>1267</v>
      </c>
      <c r="C95" s="1067"/>
      <c r="D95" s="1068"/>
      <c r="E95" s="1068"/>
    </row>
    <row r="96" spans="1:9" x14ac:dyDescent="0.25">
      <c r="A96" s="785" t="s">
        <v>1275</v>
      </c>
      <c r="B96" s="785" t="s">
        <v>1276</v>
      </c>
      <c r="C96" s="786">
        <v>50915</v>
      </c>
      <c r="D96" s="345">
        <v>48880</v>
      </c>
      <c r="E96" s="96"/>
    </row>
    <row r="97" spans="1:17" x14ac:dyDescent="0.25">
      <c r="A97" s="379" t="s">
        <v>1277</v>
      </c>
      <c r="B97" s="379" t="s">
        <v>1278</v>
      </c>
      <c r="C97" s="780">
        <v>238425</v>
      </c>
      <c r="D97" s="190">
        <v>220023</v>
      </c>
      <c r="E97" s="96"/>
    </row>
    <row r="98" spans="1:17" ht="15.75" thickBot="1" x14ac:dyDescent="0.3">
      <c r="A98" s="379" t="s">
        <v>609</v>
      </c>
      <c r="B98" s="379" t="s">
        <v>606</v>
      </c>
      <c r="C98" s="782">
        <v>74157</v>
      </c>
      <c r="D98" s="226">
        <v>93473</v>
      </c>
      <c r="E98" s="96"/>
    </row>
    <row r="99" spans="1:17" ht="15.75" thickBot="1" x14ac:dyDescent="0.3">
      <c r="A99" s="783"/>
      <c r="B99" s="328"/>
      <c r="C99" s="784">
        <v>363497</v>
      </c>
      <c r="D99" s="328">
        <v>362376</v>
      </c>
      <c r="E99" s="1099"/>
    </row>
    <row r="100" spans="1:17" x14ac:dyDescent="0.25">
      <c r="A100" s="252"/>
      <c r="B100" s="252"/>
      <c r="C100" s="252"/>
      <c r="D100" s="252"/>
      <c r="E100" s="252"/>
    </row>
    <row r="101" spans="1:17" x14ac:dyDescent="0.25">
      <c r="A101" s="252"/>
      <c r="B101" s="252"/>
      <c r="C101" s="252"/>
      <c r="D101" s="252"/>
      <c r="E101" s="252"/>
    </row>
    <row r="102" spans="1:17" ht="24.75" thickBot="1" x14ac:dyDescent="0.3">
      <c r="A102" s="476" t="s">
        <v>1520</v>
      </c>
      <c r="B102" s="1201" t="s">
        <v>1519</v>
      </c>
      <c r="C102" s="475"/>
      <c r="D102" s="1208" t="s">
        <v>1</v>
      </c>
      <c r="E102" s="252"/>
    </row>
    <row r="103" spans="1:17" ht="15.75" customHeight="1" x14ac:dyDescent="0.25">
      <c r="A103" s="777"/>
      <c r="B103" s="777"/>
      <c r="C103" s="1613" t="s">
        <v>1403</v>
      </c>
      <c r="D103" s="1613"/>
      <c r="E103" s="1103"/>
    </row>
    <row r="104" spans="1:17" ht="15.75" thickBot="1" x14ac:dyDescent="0.3">
      <c r="A104" s="106"/>
      <c r="B104" s="106"/>
      <c r="C104" s="1205">
        <f>C94</f>
        <v>43100</v>
      </c>
      <c r="D104" s="1206">
        <f>D94</f>
        <v>42735</v>
      </c>
      <c r="E104" s="778"/>
    </row>
    <row r="105" spans="1:17" x14ac:dyDescent="0.25">
      <c r="A105" s="790" t="s">
        <v>1094</v>
      </c>
      <c r="B105" s="790" t="s">
        <v>1095</v>
      </c>
      <c r="C105" s="1066"/>
      <c r="D105" s="95"/>
      <c r="E105" s="95"/>
    </row>
    <row r="106" spans="1:17" x14ac:dyDescent="0.25">
      <c r="A106" s="785" t="s">
        <v>128</v>
      </c>
      <c r="B106" s="785" t="s">
        <v>308</v>
      </c>
      <c r="C106" s="786">
        <v>312582</v>
      </c>
      <c r="D106" s="345">
        <v>313497</v>
      </c>
      <c r="E106" s="96"/>
      <c r="F106" s="4"/>
    </row>
    <row r="107" spans="1:17" ht="15.75" thickBot="1" x14ac:dyDescent="0.3">
      <c r="A107" s="781" t="s">
        <v>126</v>
      </c>
      <c r="B107" s="781" t="s">
        <v>307</v>
      </c>
      <c r="C107" s="782">
        <v>85394</v>
      </c>
      <c r="D107" s="226">
        <v>63883</v>
      </c>
      <c r="E107" s="96"/>
      <c r="G107" s="4"/>
    </row>
    <row r="108" spans="1:17" ht="15.75" thickBot="1" x14ac:dyDescent="0.3">
      <c r="A108" s="326" t="s">
        <v>1279</v>
      </c>
      <c r="B108" s="326" t="s">
        <v>1280</v>
      </c>
      <c r="C108" s="787">
        <v>397976</v>
      </c>
      <c r="D108" s="714">
        <v>377380</v>
      </c>
      <c r="E108" s="284"/>
      <c r="F108" s="4"/>
    </row>
    <row r="109" spans="1:17" x14ac:dyDescent="0.25">
      <c r="A109" s="788"/>
      <c r="B109" s="788"/>
      <c r="C109" s="789"/>
      <c r="D109" s="289"/>
      <c r="E109" s="289"/>
    </row>
    <row r="110" spans="1:17" x14ac:dyDescent="0.25">
      <c r="A110" s="790" t="s">
        <v>1281</v>
      </c>
      <c r="B110" s="790" t="s">
        <v>1282</v>
      </c>
      <c r="C110" s="1066"/>
      <c r="D110" s="790"/>
      <c r="E110" s="790"/>
      <c r="Q110" s="791"/>
    </row>
    <row r="111" spans="1:17" x14ac:dyDescent="0.25">
      <c r="A111" s="785" t="s">
        <v>128</v>
      </c>
      <c r="B111" s="785" t="s">
        <v>308</v>
      </c>
      <c r="C111" s="786">
        <v>50914</v>
      </c>
      <c r="D111" s="279">
        <v>48880</v>
      </c>
      <c r="E111" s="285"/>
    </row>
    <row r="112" spans="1:17" x14ac:dyDescent="0.25">
      <c r="A112" s="379" t="s">
        <v>126</v>
      </c>
      <c r="B112" s="379" t="s">
        <v>307</v>
      </c>
      <c r="C112" s="780">
        <v>8490</v>
      </c>
      <c r="D112" s="190">
        <v>11345</v>
      </c>
      <c r="E112" s="96"/>
    </row>
    <row r="113" spans="1:5" x14ac:dyDescent="0.25">
      <c r="A113" s="788"/>
      <c r="B113" s="788"/>
      <c r="C113" s="789"/>
      <c r="D113" s="792"/>
      <c r="E113" s="95"/>
    </row>
    <row r="114" spans="1:5" x14ac:dyDescent="0.25">
      <c r="A114" s="790" t="s">
        <v>1099</v>
      </c>
      <c r="B114" s="790" t="s">
        <v>1100</v>
      </c>
      <c r="C114" s="1006"/>
      <c r="D114" s="95"/>
      <c r="E114" s="95"/>
    </row>
    <row r="115" spans="1:5" x14ac:dyDescent="0.25">
      <c r="A115" s="785" t="s">
        <v>126</v>
      </c>
      <c r="B115" s="785" t="s">
        <v>307</v>
      </c>
      <c r="C115" s="786">
        <v>1294</v>
      </c>
      <c r="D115" s="345">
        <v>3678</v>
      </c>
      <c r="E115" s="96"/>
    </row>
    <row r="116" spans="1:5" x14ac:dyDescent="0.25">
      <c r="A116" s="379" t="s">
        <v>128</v>
      </c>
      <c r="B116" s="379" t="s">
        <v>308</v>
      </c>
      <c r="C116" s="780">
        <v>28157</v>
      </c>
      <c r="D116" s="190">
        <v>41651</v>
      </c>
      <c r="E116" s="96"/>
    </row>
    <row r="117" spans="1:5" x14ac:dyDescent="0.25">
      <c r="A117" s="793" t="s">
        <v>734</v>
      </c>
      <c r="B117" s="379" t="s">
        <v>734</v>
      </c>
      <c r="C117" s="780">
        <v>5134</v>
      </c>
      <c r="D117" s="190">
        <v>5046</v>
      </c>
      <c r="E117" s="96"/>
    </row>
    <row r="118" spans="1:5" x14ac:dyDescent="0.25">
      <c r="A118" s="793" t="s">
        <v>654</v>
      </c>
      <c r="B118" s="379" t="s">
        <v>654</v>
      </c>
      <c r="C118" s="780">
        <v>2172</v>
      </c>
      <c r="D118" s="190">
        <v>4788</v>
      </c>
      <c r="E118" s="96"/>
    </row>
    <row r="119" spans="1:5" ht="15.75" thickBot="1" x14ac:dyDescent="0.3">
      <c r="A119" s="781" t="s">
        <v>1283</v>
      </c>
      <c r="B119" s="781" t="s">
        <v>974</v>
      </c>
      <c r="C119" s="782">
        <v>604644</v>
      </c>
      <c r="D119" s="628">
        <v>129936</v>
      </c>
      <c r="E119" s="285"/>
    </row>
    <row r="120" spans="1:5" ht="15.75" thickBot="1" x14ac:dyDescent="0.3">
      <c r="A120" s="326" t="s">
        <v>1284</v>
      </c>
      <c r="B120" s="326" t="s">
        <v>1285</v>
      </c>
      <c r="C120" s="787">
        <v>700805</v>
      </c>
      <c r="D120" s="714">
        <v>245324</v>
      </c>
      <c r="E120" s="284"/>
    </row>
    <row r="121" spans="1:5" ht="15.75" thickBot="1" x14ac:dyDescent="0.3">
      <c r="A121" s="326" t="s">
        <v>1286</v>
      </c>
      <c r="B121" s="326" t="s">
        <v>1287</v>
      </c>
      <c r="C121" s="784">
        <v>1098781</v>
      </c>
      <c r="D121" s="714">
        <v>622704</v>
      </c>
      <c r="E121" s="284"/>
    </row>
    <row r="122" spans="1:5" x14ac:dyDescent="0.25">
      <c r="A122" s="330"/>
      <c r="B122" s="191"/>
      <c r="C122" s="769"/>
      <c r="D122" s="769"/>
      <c r="E122" s="1099"/>
    </row>
    <row r="123" spans="1:5" ht="15.75" thickBot="1" x14ac:dyDescent="0.3">
      <c r="A123" s="476" t="s">
        <v>1517</v>
      </c>
      <c r="B123" s="476" t="s">
        <v>1518</v>
      </c>
      <c r="C123" s="475"/>
      <c r="D123" s="1208" t="s">
        <v>1</v>
      </c>
      <c r="E123" s="475"/>
    </row>
    <row r="124" spans="1:5" x14ac:dyDescent="0.25">
      <c r="A124" s="777"/>
      <c r="B124" s="777"/>
      <c r="C124" s="1613" t="s">
        <v>1403</v>
      </c>
      <c r="D124" s="1613"/>
      <c r="E124" s="1103"/>
    </row>
    <row r="125" spans="1:5" ht="15.75" thickBot="1" x14ac:dyDescent="0.3">
      <c r="A125" s="515"/>
      <c r="B125" s="515"/>
      <c r="C125" s="1205">
        <f>C104</f>
        <v>43100</v>
      </c>
      <c r="D125" s="1206">
        <f>D104</f>
        <v>42735</v>
      </c>
      <c r="E125" s="778"/>
    </row>
    <row r="126" spans="1:5" x14ac:dyDescent="0.25">
      <c r="A126" s="779"/>
      <c r="B126" s="779"/>
      <c r="C126" s="794"/>
      <c r="D126" s="795"/>
      <c r="E126" s="795"/>
    </row>
    <row r="127" spans="1:5" x14ac:dyDescent="0.25">
      <c r="A127" s="481" t="s">
        <v>103</v>
      </c>
      <c r="B127" s="481" t="s">
        <v>271</v>
      </c>
      <c r="C127" s="796">
        <v>622704</v>
      </c>
      <c r="D127" s="797">
        <v>624577</v>
      </c>
      <c r="E127" s="1104"/>
    </row>
    <row r="128" spans="1:5" x14ac:dyDescent="0.25">
      <c r="A128" s="379" t="s">
        <v>1288</v>
      </c>
      <c r="B128" s="379" t="s">
        <v>1289</v>
      </c>
      <c r="C128" s="780">
        <v>536302</v>
      </c>
      <c r="D128" s="190">
        <v>78446</v>
      </c>
      <c r="E128" s="96"/>
    </row>
    <row r="129" spans="1:5" ht="15.75" thickBot="1" x14ac:dyDescent="0.3">
      <c r="A129" s="781" t="s">
        <v>1290</v>
      </c>
      <c r="B129" s="781" t="s">
        <v>1291</v>
      </c>
      <c r="C129" s="798">
        <v>-60225</v>
      </c>
      <c r="D129" s="799">
        <v>-80319</v>
      </c>
      <c r="E129" s="1105"/>
    </row>
    <row r="130" spans="1:5" ht="15.75" thickBot="1" x14ac:dyDescent="0.3">
      <c r="A130" s="274" t="s">
        <v>105</v>
      </c>
      <c r="B130" s="274" t="s">
        <v>273</v>
      </c>
      <c r="C130" s="800">
        <v>1098781</v>
      </c>
      <c r="D130" s="801">
        <v>622704</v>
      </c>
      <c r="E130" s="1106"/>
    </row>
    <row r="131" spans="1:5" x14ac:dyDescent="0.25">
      <c r="A131" s="252"/>
      <c r="B131" s="252"/>
      <c r="C131" s="252"/>
      <c r="D131" s="252"/>
      <c r="E131" s="252"/>
    </row>
    <row r="132" spans="1:5" ht="24.75" thickBot="1" x14ac:dyDescent="0.3">
      <c r="A132" s="1201" t="s">
        <v>1514</v>
      </c>
      <c r="B132" s="1201" t="s">
        <v>1516</v>
      </c>
      <c r="C132" s="475"/>
      <c r="D132" s="1208" t="s">
        <v>1</v>
      </c>
      <c r="E132" s="475"/>
    </row>
    <row r="133" spans="1:5" x14ac:dyDescent="0.25">
      <c r="A133" s="777"/>
      <c r="B133" s="777"/>
      <c r="C133" s="1613" t="s">
        <v>1403</v>
      </c>
      <c r="D133" s="1613"/>
      <c r="E133" s="1103"/>
    </row>
    <row r="134" spans="1:5" ht="15.75" thickBot="1" x14ac:dyDescent="0.3">
      <c r="A134" s="515"/>
      <c r="B134" s="515"/>
      <c r="C134" s="1203">
        <v>2017</v>
      </c>
      <c r="D134" s="1204">
        <v>2016</v>
      </c>
      <c r="E134" s="1107"/>
    </row>
    <row r="135" spans="1:5" x14ac:dyDescent="0.25">
      <c r="A135" s="779"/>
      <c r="B135" s="779"/>
      <c r="C135" s="794"/>
      <c r="D135" s="795"/>
      <c r="E135" s="795"/>
    </row>
    <row r="136" spans="1:5" ht="15.75" thickBot="1" x14ac:dyDescent="0.3">
      <c r="A136" s="781" t="s">
        <v>1292</v>
      </c>
      <c r="B136" s="781" t="s">
        <v>234</v>
      </c>
      <c r="C136" s="798">
        <v>1682</v>
      </c>
      <c r="D136" s="799">
        <v>1408</v>
      </c>
      <c r="E136" s="1105"/>
    </row>
    <row r="137" spans="1:5" ht="15.75" thickBot="1" x14ac:dyDescent="0.3">
      <c r="A137" s="274"/>
      <c r="B137" s="274"/>
      <c r="C137" s="800">
        <v>1682</v>
      </c>
      <c r="D137" s="801">
        <v>1408</v>
      </c>
      <c r="E137" s="1106"/>
    </row>
    <row r="138" spans="1:5" x14ac:dyDescent="0.25">
      <c r="A138" s="476"/>
      <c r="B138" s="252"/>
      <c r="C138" s="252"/>
      <c r="D138" s="252"/>
      <c r="E138" s="252"/>
    </row>
    <row r="139" spans="1:5" ht="24.75" thickBot="1" x14ac:dyDescent="0.3">
      <c r="A139" s="1201" t="s">
        <v>1513</v>
      </c>
      <c r="B139" s="1202" t="s">
        <v>1515</v>
      </c>
      <c r="C139" s="475"/>
      <c r="D139" s="1208" t="s">
        <v>1</v>
      </c>
      <c r="E139" s="475"/>
    </row>
    <row r="140" spans="1:5" x14ac:dyDescent="0.25">
      <c r="A140" s="777"/>
      <c r="B140" s="777"/>
      <c r="C140" s="1613" t="s">
        <v>1403</v>
      </c>
      <c r="D140" s="1613"/>
      <c r="E140" s="1103"/>
    </row>
    <row r="141" spans="1:5" ht="15.75" thickBot="1" x14ac:dyDescent="0.3">
      <c r="A141" s="515"/>
      <c r="B141" s="515"/>
      <c r="C141" s="1203">
        <f>C134</f>
        <v>2017</v>
      </c>
      <c r="D141" s="1204">
        <f>D134</f>
        <v>2016</v>
      </c>
      <c r="E141" s="1107"/>
    </row>
    <row r="142" spans="1:5" x14ac:dyDescent="0.25">
      <c r="A142" s="779"/>
      <c r="B142" s="779"/>
      <c r="C142" s="794"/>
      <c r="D142" s="795"/>
      <c r="E142" s="795"/>
    </row>
    <row r="143" spans="1:5" ht="15.75" thickBot="1" x14ac:dyDescent="0.3">
      <c r="A143" s="781" t="s">
        <v>1293</v>
      </c>
      <c r="B143" s="781" t="s">
        <v>233</v>
      </c>
      <c r="C143" s="798">
        <v>41</v>
      </c>
      <c r="D143" s="799">
        <v>51</v>
      </c>
      <c r="E143" s="1105"/>
    </row>
    <row r="144" spans="1:5" ht="15.75" thickBot="1" x14ac:dyDescent="0.3">
      <c r="A144" s="274"/>
      <c r="B144" s="274"/>
      <c r="C144" s="800">
        <v>41</v>
      </c>
      <c r="D144" s="801">
        <v>51</v>
      </c>
      <c r="E144" s="1106"/>
    </row>
    <row r="145" spans="1:5" x14ac:dyDescent="0.25">
      <c r="A145" s="475"/>
      <c r="B145" s="475"/>
      <c r="C145" s="475"/>
      <c r="D145" s="475"/>
      <c r="E145" s="475"/>
    </row>
    <row r="146" spans="1:5" x14ac:dyDescent="0.25">
      <c r="A146" s="475"/>
      <c r="B146" s="475"/>
      <c r="C146" s="475"/>
      <c r="D146" s="475"/>
      <c r="E146" s="475"/>
    </row>
    <row r="147" spans="1:5" x14ac:dyDescent="0.25">
      <c r="A147" s="475"/>
      <c r="B147" s="475"/>
      <c r="C147" s="475"/>
      <c r="D147" s="475"/>
      <c r="E147" s="475"/>
    </row>
    <row r="148" spans="1:5" x14ac:dyDescent="0.25">
      <c r="A148" s="475"/>
      <c r="B148" s="475"/>
      <c r="C148" s="475"/>
      <c r="D148" s="475"/>
      <c r="E148" s="475"/>
    </row>
    <row r="149" spans="1:5" x14ac:dyDescent="0.25">
      <c r="A149" s="475"/>
      <c r="B149" s="475"/>
      <c r="C149" s="475"/>
      <c r="D149" s="475"/>
      <c r="E149" s="475"/>
    </row>
    <row r="150" spans="1:5" x14ac:dyDescent="0.25">
      <c r="A150" s="475"/>
      <c r="B150" s="475"/>
      <c r="C150" s="475"/>
      <c r="D150" s="475"/>
      <c r="E150" s="475"/>
    </row>
    <row r="151" spans="1:5" x14ac:dyDescent="0.25">
      <c r="A151" s="475"/>
      <c r="B151" s="475"/>
      <c r="C151" s="475"/>
      <c r="D151" s="475"/>
      <c r="E151" s="475"/>
    </row>
    <row r="152" spans="1:5" x14ac:dyDescent="0.25">
      <c r="A152" s="475"/>
      <c r="B152" s="475"/>
      <c r="C152" s="475"/>
      <c r="D152" s="475"/>
      <c r="E152" s="475"/>
    </row>
    <row r="153" spans="1:5" x14ac:dyDescent="0.25">
      <c r="A153" s="475"/>
      <c r="B153" s="475"/>
      <c r="C153" s="475"/>
      <c r="D153" s="475"/>
      <c r="E153" s="475"/>
    </row>
    <row r="154" spans="1:5" x14ac:dyDescent="0.25">
      <c r="A154" s="475"/>
      <c r="B154" s="475"/>
      <c r="C154" s="475"/>
      <c r="D154" s="475"/>
      <c r="E154" s="475"/>
    </row>
    <row r="155" spans="1:5" x14ac:dyDescent="0.25">
      <c r="A155" s="475"/>
      <c r="B155" s="475"/>
      <c r="C155" s="475"/>
      <c r="D155" s="475"/>
      <c r="E155" s="475"/>
    </row>
    <row r="156" spans="1:5" x14ac:dyDescent="0.25">
      <c r="A156" s="475"/>
      <c r="B156" s="475"/>
      <c r="C156" s="475"/>
      <c r="D156" s="475"/>
      <c r="E156" s="475"/>
    </row>
    <row r="157" spans="1:5" x14ac:dyDescent="0.25">
      <c r="A157" s="475"/>
      <c r="B157" s="475"/>
      <c r="C157" s="475"/>
      <c r="D157" s="475"/>
      <c r="E157" s="475"/>
    </row>
    <row r="158" spans="1:5" x14ac:dyDescent="0.25">
      <c r="A158" s="475"/>
      <c r="B158" s="475"/>
      <c r="C158" s="475"/>
      <c r="D158" s="475"/>
      <c r="E158" s="475"/>
    </row>
    <row r="159" spans="1:5" x14ac:dyDescent="0.25">
      <c r="A159" s="475"/>
      <c r="B159" s="475"/>
      <c r="C159" s="475"/>
      <c r="D159" s="475"/>
      <c r="E159" s="475"/>
    </row>
    <row r="160" spans="1:5" x14ac:dyDescent="0.25">
      <c r="A160" s="475"/>
      <c r="B160" s="475"/>
      <c r="C160" s="475"/>
      <c r="D160" s="475"/>
      <c r="E160" s="475"/>
    </row>
    <row r="161" spans="1:5" x14ac:dyDescent="0.25">
      <c r="A161" s="475"/>
      <c r="B161" s="475"/>
      <c r="C161" s="475"/>
      <c r="D161" s="475"/>
      <c r="E161" s="475"/>
    </row>
    <row r="162" spans="1:5" x14ac:dyDescent="0.25">
      <c r="A162" s="475"/>
      <c r="B162" s="475"/>
      <c r="C162" s="475"/>
      <c r="D162" s="475"/>
      <c r="E162" s="475"/>
    </row>
    <row r="163" spans="1:5" x14ac:dyDescent="0.25">
      <c r="A163" s="475"/>
      <c r="B163" s="475"/>
      <c r="C163" s="475"/>
      <c r="D163" s="475"/>
      <c r="E163" s="475"/>
    </row>
    <row r="164" spans="1:5" x14ac:dyDescent="0.25">
      <c r="A164" s="475"/>
      <c r="B164" s="475"/>
      <c r="C164" s="475"/>
      <c r="D164" s="475"/>
      <c r="E164" s="475"/>
    </row>
    <row r="165" spans="1:5" x14ac:dyDescent="0.25">
      <c r="A165" s="475"/>
      <c r="B165" s="475"/>
      <c r="C165" s="475"/>
      <c r="D165" s="475"/>
      <c r="E165" s="475"/>
    </row>
    <row r="166" spans="1:5" x14ac:dyDescent="0.25">
      <c r="A166" s="475"/>
      <c r="B166" s="475"/>
      <c r="C166" s="475"/>
      <c r="D166" s="475"/>
      <c r="E166" s="475"/>
    </row>
    <row r="167" spans="1:5" x14ac:dyDescent="0.25">
      <c r="A167" s="475"/>
      <c r="B167" s="475"/>
      <c r="C167" s="475"/>
      <c r="D167" s="475"/>
      <c r="E167" s="475"/>
    </row>
    <row r="168" spans="1:5" x14ac:dyDescent="0.25">
      <c r="A168" s="475"/>
      <c r="B168" s="475"/>
      <c r="C168" s="475"/>
      <c r="D168" s="475"/>
      <c r="E168" s="475"/>
    </row>
    <row r="169" spans="1:5" x14ac:dyDescent="0.25">
      <c r="A169" s="475"/>
      <c r="B169" s="475"/>
      <c r="C169" s="475"/>
      <c r="D169" s="475"/>
      <c r="E169" s="475"/>
    </row>
    <row r="170" spans="1:5" x14ac:dyDescent="0.25">
      <c r="A170" s="475"/>
      <c r="B170" s="475"/>
      <c r="C170" s="475"/>
      <c r="D170" s="475"/>
      <c r="E170" s="475"/>
    </row>
    <row r="171" spans="1:5" x14ac:dyDescent="0.25">
      <c r="A171" s="475"/>
      <c r="B171" s="475"/>
      <c r="C171" s="475"/>
      <c r="D171" s="475"/>
      <c r="E171" s="475"/>
    </row>
    <row r="172" spans="1:5" x14ac:dyDescent="0.25">
      <c r="A172" s="475"/>
      <c r="B172" s="475"/>
      <c r="C172" s="475"/>
      <c r="D172" s="475"/>
      <c r="E172" s="475"/>
    </row>
    <row r="173" spans="1:5" x14ac:dyDescent="0.25">
      <c r="A173" s="475"/>
      <c r="B173" s="475"/>
      <c r="C173" s="475"/>
      <c r="D173" s="475"/>
      <c r="E173" s="475"/>
    </row>
    <row r="174" spans="1:5" x14ac:dyDescent="0.25">
      <c r="A174" s="475"/>
      <c r="B174" s="475"/>
      <c r="C174" s="475"/>
      <c r="D174" s="475"/>
      <c r="E174" s="475"/>
    </row>
    <row r="175" spans="1:5" x14ac:dyDescent="0.25">
      <c r="A175" s="475"/>
      <c r="B175" s="475"/>
      <c r="C175" s="475"/>
      <c r="D175" s="475"/>
      <c r="E175" s="475"/>
    </row>
    <row r="176" spans="1:5" x14ac:dyDescent="0.25">
      <c r="A176" s="475"/>
      <c r="B176" s="475"/>
      <c r="C176" s="475"/>
      <c r="D176" s="475"/>
      <c r="E176" s="475"/>
    </row>
    <row r="177" spans="1:5" x14ac:dyDescent="0.25">
      <c r="A177" s="475"/>
      <c r="B177" s="475"/>
      <c r="C177" s="475"/>
      <c r="D177" s="475"/>
      <c r="E177" s="475"/>
    </row>
    <row r="178" spans="1:5" x14ac:dyDescent="0.25">
      <c r="A178" s="475"/>
      <c r="B178" s="475"/>
      <c r="C178" s="475"/>
      <c r="D178" s="475"/>
      <c r="E178" s="475"/>
    </row>
    <row r="179" spans="1:5" x14ac:dyDescent="0.25">
      <c r="A179" s="475"/>
      <c r="B179" s="475"/>
      <c r="C179" s="475"/>
      <c r="D179" s="475"/>
      <c r="E179" s="475"/>
    </row>
    <row r="180" spans="1:5" x14ac:dyDescent="0.25">
      <c r="A180" s="475"/>
      <c r="B180" s="475"/>
      <c r="C180" s="475"/>
      <c r="D180" s="475"/>
      <c r="E180" s="475"/>
    </row>
    <row r="181" spans="1:5" x14ac:dyDescent="0.25">
      <c r="A181" s="475"/>
      <c r="B181" s="475"/>
      <c r="C181" s="475"/>
      <c r="D181" s="475"/>
      <c r="E181" s="475"/>
    </row>
    <row r="182" spans="1:5" x14ac:dyDescent="0.25">
      <c r="A182" s="475"/>
      <c r="B182" s="475"/>
      <c r="C182" s="475"/>
      <c r="D182" s="475"/>
      <c r="E182" s="475"/>
    </row>
    <row r="183" spans="1:5" x14ac:dyDescent="0.25">
      <c r="A183" s="475"/>
      <c r="B183" s="475"/>
      <c r="C183" s="475"/>
      <c r="D183" s="475"/>
      <c r="E183" s="475"/>
    </row>
    <row r="184" spans="1:5" x14ac:dyDescent="0.25">
      <c r="A184" s="475"/>
      <c r="B184" s="475"/>
      <c r="C184" s="475"/>
      <c r="D184" s="475"/>
      <c r="E184" s="475"/>
    </row>
    <row r="185" spans="1:5" x14ac:dyDescent="0.25">
      <c r="A185" s="475"/>
      <c r="B185" s="475"/>
      <c r="C185" s="475"/>
      <c r="D185" s="475"/>
      <c r="E185" s="475"/>
    </row>
    <row r="186" spans="1:5" x14ac:dyDescent="0.25">
      <c r="A186" s="475"/>
      <c r="B186" s="475"/>
      <c r="C186" s="475"/>
      <c r="D186" s="475"/>
      <c r="E186" s="475"/>
    </row>
    <row r="187" spans="1:5" x14ac:dyDescent="0.25">
      <c r="A187" s="475"/>
      <c r="B187" s="475"/>
      <c r="C187" s="475"/>
      <c r="D187" s="475"/>
      <c r="E187" s="475"/>
    </row>
    <row r="188" spans="1:5" x14ac:dyDescent="0.25">
      <c r="A188" s="475"/>
      <c r="B188" s="475"/>
      <c r="C188" s="475"/>
      <c r="D188" s="475"/>
      <c r="E188" s="475"/>
    </row>
    <row r="189" spans="1:5" x14ac:dyDescent="0.25">
      <c r="A189" s="475"/>
      <c r="B189" s="475"/>
      <c r="C189" s="475"/>
      <c r="D189" s="475"/>
      <c r="E189" s="475"/>
    </row>
    <row r="190" spans="1:5" x14ac:dyDescent="0.25">
      <c r="A190" s="475"/>
      <c r="B190" s="475"/>
      <c r="C190" s="475"/>
      <c r="D190" s="475"/>
      <c r="E190" s="475"/>
    </row>
    <row r="191" spans="1:5" x14ac:dyDescent="0.25">
      <c r="A191" s="475"/>
      <c r="B191" s="475"/>
      <c r="C191" s="475"/>
      <c r="D191" s="475"/>
      <c r="E191" s="475"/>
    </row>
    <row r="192" spans="1:5" x14ac:dyDescent="0.25">
      <c r="A192" s="475"/>
      <c r="B192" s="475"/>
      <c r="C192" s="475"/>
      <c r="D192" s="475"/>
      <c r="E192" s="475"/>
    </row>
    <row r="193" spans="1:5" x14ac:dyDescent="0.25">
      <c r="A193" s="475"/>
      <c r="B193" s="475"/>
      <c r="C193" s="475"/>
      <c r="D193" s="475"/>
      <c r="E193" s="475"/>
    </row>
    <row r="194" spans="1:5" x14ac:dyDescent="0.25">
      <c r="A194" s="475"/>
      <c r="B194" s="475"/>
      <c r="C194" s="475"/>
      <c r="D194" s="475"/>
      <c r="E194" s="475"/>
    </row>
    <row r="195" spans="1:5" x14ac:dyDescent="0.25">
      <c r="A195" s="475"/>
      <c r="B195" s="475"/>
      <c r="C195" s="475"/>
      <c r="D195" s="475"/>
      <c r="E195" s="475"/>
    </row>
    <row r="196" spans="1:5" x14ac:dyDescent="0.25">
      <c r="A196" s="475"/>
      <c r="B196" s="475"/>
      <c r="C196" s="475"/>
      <c r="D196" s="475"/>
      <c r="E196" s="475"/>
    </row>
    <row r="197" spans="1:5" x14ac:dyDescent="0.25">
      <c r="A197" s="475"/>
      <c r="B197" s="475"/>
      <c r="C197" s="475"/>
      <c r="D197" s="475"/>
      <c r="E197" s="475"/>
    </row>
    <row r="198" spans="1:5" x14ac:dyDescent="0.25">
      <c r="A198" s="475"/>
      <c r="B198" s="475"/>
      <c r="C198" s="475"/>
      <c r="D198" s="475"/>
      <c r="E198" s="475"/>
    </row>
    <row r="199" spans="1:5" x14ac:dyDescent="0.25">
      <c r="A199" s="475"/>
      <c r="B199" s="475"/>
      <c r="C199" s="475"/>
      <c r="D199" s="475"/>
      <c r="E199" s="475"/>
    </row>
    <row r="200" spans="1:5" x14ac:dyDescent="0.25">
      <c r="A200" s="475"/>
      <c r="B200" s="475"/>
      <c r="C200" s="475"/>
      <c r="D200" s="475"/>
      <c r="E200" s="475"/>
    </row>
    <row r="201" spans="1:5" x14ac:dyDescent="0.25">
      <c r="A201" s="475"/>
      <c r="B201" s="475"/>
      <c r="C201" s="475"/>
      <c r="D201" s="475"/>
      <c r="E201" s="475"/>
    </row>
    <row r="202" spans="1:5" x14ac:dyDescent="0.25">
      <c r="A202" s="475"/>
      <c r="B202" s="475"/>
      <c r="C202" s="475"/>
      <c r="D202" s="475"/>
      <c r="E202" s="475"/>
    </row>
    <row r="203" spans="1:5" x14ac:dyDescent="0.25">
      <c r="A203" s="475"/>
      <c r="B203" s="475"/>
      <c r="C203" s="475"/>
      <c r="D203" s="475"/>
      <c r="E203" s="475"/>
    </row>
    <row r="204" spans="1:5" x14ac:dyDescent="0.25">
      <c r="A204" s="475"/>
      <c r="B204" s="475"/>
      <c r="C204" s="475"/>
      <c r="D204" s="475"/>
      <c r="E204" s="475"/>
    </row>
    <row r="205" spans="1:5" x14ac:dyDescent="0.25">
      <c r="A205" s="475"/>
      <c r="B205" s="475"/>
      <c r="C205" s="475"/>
      <c r="D205" s="475"/>
      <c r="E205" s="475"/>
    </row>
    <row r="206" spans="1:5" x14ac:dyDescent="0.25">
      <c r="A206" s="475"/>
      <c r="B206" s="475"/>
      <c r="C206" s="475"/>
      <c r="D206" s="475"/>
      <c r="E206" s="475"/>
    </row>
    <row r="207" spans="1:5" x14ac:dyDescent="0.25">
      <c r="A207" s="475"/>
      <c r="B207" s="475"/>
      <c r="C207" s="475"/>
      <c r="D207" s="475"/>
      <c r="E207" s="475"/>
    </row>
    <row r="208" spans="1:5" x14ac:dyDescent="0.25">
      <c r="A208" s="475"/>
      <c r="B208" s="475"/>
      <c r="C208" s="475"/>
      <c r="D208" s="475"/>
      <c r="E208" s="475"/>
    </row>
    <row r="209" spans="1:5" x14ac:dyDescent="0.25">
      <c r="A209" s="475"/>
      <c r="B209" s="475"/>
      <c r="C209" s="475"/>
      <c r="D209" s="475"/>
      <c r="E209" s="475"/>
    </row>
    <row r="210" spans="1:5" x14ac:dyDescent="0.25">
      <c r="A210" s="475"/>
      <c r="B210" s="475"/>
      <c r="C210" s="475"/>
      <c r="D210" s="475"/>
      <c r="E210" s="475"/>
    </row>
    <row r="211" spans="1:5" x14ac:dyDescent="0.25">
      <c r="A211" s="475"/>
      <c r="B211" s="475"/>
      <c r="C211" s="475"/>
      <c r="D211" s="475"/>
      <c r="E211" s="475"/>
    </row>
    <row r="212" spans="1:5" x14ac:dyDescent="0.25">
      <c r="A212" s="475"/>
      <c r="B212" s="475"/>
      <c r="C212" s="475"/>
      <c r="D212" s="475"/>
      <c r="E212" s="475"/>
    </row>
    <row r="213" spans="1:5" x14ac:dyDescent="0.25">
      <c r="A213" s="475"/>
      <c r="B213" s="475"/>
      <c r="C213" s="475"/>
      <c r="D213" s="475"/>
      <c r="E213" s="475"/>
    </row>
    <row r="214" spans="1:5" x14ac:dyDescent="0.25">
      <c r="A214" s="475"/>
      <c r="B214" s="475"/>
      <c r="C214" s="475"/>
      <c r="D214" s="475"/>
      <c r="E214" s="475"/>
    </row>
    <row r="215" spans="1:5" x14ac:dyDescent="0.25">
      <c r="A215" s="475"/>
      <c r="B215" s="475"/>
      <c r="C215" s="475"/>
      <c r="D215" s="475"/>
      <c r="E215" s="475"/>
    </row>
    <row r="216" spans="1:5" x14ac:dyDescent="0.25">
      <c r="A216" s="475"/>
      <c r="B216" s="475"/>
      <c r="C216" s="475"/>
      <c r="D216" s="475"/>
      <c r="E216" s="475"/>
    </row>
    <row r="217" spans="1:5" x14ac:dyDescent="0.25">
      <c r="A217" s="475"/>
      <c r="B217" s="475"/>
      <c r="C217" s="475"/>
      <c r="D217" s="475"/>
      <c r="E217" s="475"/>
    </row>
    <row r="218" spans="1:5" x14ac:dyDescent="0.25">
      <c r="A218" s="475"/>
      <c r="B218" s="475"/>
      <c r="C218" s="475"/>
      <c r="D218" s="475"/>
      <c r="E218" s="475"/>
    </row>
    <row r="219" spans="1:5" x14ac:dyDescent="0.25">
      <c r="A219" s="475"/>
      <c r="B219" s="475"/>
      <c r="C219" s="475"/>
      <c r="D219" s="475"/>
      <c r="E219" s="475"/>
    </row>
    <row r="220" spans="1:5" x14ac:dyDescent="0.25">
      <c r="A220" s="475"/>
      <c r="B220" s="475"/>
      <c r="C220" s="475"/>
      <c r="D220" s="475"/>
      <c r="E220" s="475"/>
    </row>
    <row r="221" spans="1:5" x14ac:dyDescent="0.25">
      <c r="A221" s="475"/>
      <c r="B221" s="475"/>
      <c r="C221" s="475"/>
      <c r="D221" s="475"/>
      <c r="E221" s="475"/>
    </row>
    <row r="222" spans="1:5" x14ac:dyDescent="0.25">
      <c r="A222" s="475"/>
      <c r="B222" s="475"/>
      <c r="C222" s="475"/>
      <c r="D222" s="475"/>
      <c r="E222" s="475"/>
    </row>
    <row r="223" spans="1:5" x14ac:dyDescent="0.25">
      <c r="A223" s="475"/>
      <c r="B223" s="475"/>
      <c r="C223" s="475"/>
      <c r="D223" s="475"/>
      <c r="E223" s="475"/>
    </row>
    <row r="224" spans="1:5" x14ac:dyDescent="0.25">
      <c r="A224" s="475"/>
      <c r="B224" s="475"/>
      <c r="C224" s="475"/>
      <c r="D224" s="475"/>
      <c r="E224" s="475"/>
    </row>
    <row r="225" spans="1:5" x14ac:dyDescent="0.25">
      <c r="A225" s="475"/>
      <c r="B225" s="475"/>
      <c r="C225" s="475"/>
      <c r="D225" s="475"/>
      <c r="E225" s="475"/>
    </row>
    <row r="226" spans="1:5" x14ac:dyDescent="0.25">
      <c r="A226" s="475"/>
      <c r="B226" s="475"/>
      <c r="C226" s="475"/>
      <c r="D226" s="475"/>
      <c r="E226" s="475"/>
    </row>
    <row r="227" spans="1:5" x14ac:dyDescent="0.25">
      <c r="A227" s="475"/>
      <c r="B227" s="475"/>
      <c r="C227" s="475"/>
      <c r="D227" s="475"/>
      <c r="E227" s="475"/>
    </row>
    <row r="228" spans="1:5" x14ac:dyDescent="0.25">
      <c r="A228" s="475"/>
      <c r="B228" s="475"/>
      <c r="C228" s="475"/>
      <c r="D228" s="475"/>
      <c r="E228" s="475"/>
    </row>
    <row r="229" spans="1:5" x14ac:dyDescent="0.25">
      <c r="A229" s="475"/>
      <c r="B229" s="475"/>
      <c r="C229" s="475"/>
      <c r="D229" s="475"/>
      <c r="E229" s="475"/>
    </row>
    <row r="230" spans="1:5" x14ac:dyDescent="0.25">
      <c r="A230" s="475"/>
      <c r="B230" s="475"/>
      <c r="C230" s="475"/>
      <c r="D230" s="475"/>
      <c r="E230" s="475"/>
    </row>
    <row r="231" spans="1:5" x14ac:dyDescent="0.25">
      <c r="A231" s="475"/>
      <c r="B231" s="475"/>
      <c r="C231" s="475"/>
      <c r="D231" s="475"/>
      <c r="E231" s="475"/>
    </row>
    <row r="232" spans="1:5" x14ac:dyDescent="0.25">
      <c r="A232" s="475"/>
      <c r="B232" s="475"/>
      <c r="C232" s="475"/>
      <c r="D232" s="475"/>
      <c r="E232" s="475"/>
    </row>
    <row r="233" spans="1:5" x14ac:dyDescent="0.25">
      <c r="A233" s="475"/>
      <c r="B233" s="475"/>
      <c r="C233" s="475"/>
      <c r="D233" s="475"/>
      <c r="E233" s="475"/>
    </row>
    <row r="234" spans="1:5" x14ac:dyDescent="0.25">
      <c r="A234" s="475"/>
      <c r="B234" s="475"/>
      <c r="C234" s="475"/>
      <c r="D234" s="475"/>
      <c r="E234" s="475"/>
    </row>
    <row r="235" spans="1:5" x14ac:dyDescent="0.25">
      <c r="A235" s="475"/>
      <c r="B235" s="475"/>
      <c r="C235" s="475"/>
      <c r="D235" s="475"/>
      <c r="E235" s="475"/>
    </row>
    <row r="236" spans="1:5" x14ac:dyDescent="0.25">
      <c r="A236" s="475"/>
      <c r="B236" s="475"/>
      <c r="C236" s="475"/>
      <c r="D236" s="475"/>
      <c r="E236" s="475"/>
    </row>
    <row r="237" spans="1:5" x14ac:dyDescent="0.25">
      <c r="A237" s="475"/>
      <c r="B237" s="475"/>
      <c r="C237" s="475"/>
      <c r="D237" s="475"/>
      <c r="E237" s="475"/>
    </row>
    <row r="238" spans="1:5" x14ac:dyDescent="0.25">
      <c r="A238" s="475"/>
      <c r="B238" s="475"/>
      <c r="C238" s="475"/>
      <c r="D238" s="475"/>
      <c r="E238" s="475"/>
    </row>
    <row r="239" spans="1:5" x14ac:dyDescent="0.25">
      <c r="A239" s="475"/>
      <c r="B239" s="475"/>
      <c r="C239" s="475"/>
      <c r="D239" s="475"/>
      <c r="E239" s="475"/>
    </row>
    <row r="240" spans="1:5" x14ac:dyDescent="0.25">
      <c r="A240" s="475"/>
      <c r="B240" s="475"/>
      <c r="C240" s="475"/>
      <c r="D240" s="475"/>
      <c r="E240" s="475"/>
    </row>
    <row r="241" spans="1:5" x14ac:dyDescent="0.25">
      <c r="A241" s="475"/>
      <c r="B241" s="475"/>
      <c r="C241" s="475"/>
      <c r="D241" s="475"/>
      <c r="E241" s="475"/>
    </row>
    <row r="242" spans="1:5" x14ac:dyDescent="0.25">
      <c r="A242" s="475"/>
      <c r="B242" s="475"/>
      <c r="C242" s="475"/>
      <c r="D242" s="475"/>
      <c r="E242" s="475"/>
    </row>
    <row r="243" spans="1:5" x14ac:dyDescent="0.25">
      <c r="A243" s="475"/>
      <c r="B243" s="475"/>
      <c r="C243" s="475"/>
      <c r="D243" s="475"/>
      <c r="E243" s="475"/>
    </row>
    <row r="244" spans="1:5" x14ac:dyDescent="0.25">
      <c r="A244" s="475"/>
      <c r="B244" s="475"/>
      <c r="C244" s="475"/>
      <c r="D244" s="475"/>
      <c r="E244" s="475"/>
    </row>
    <row r="245" spans="1:5" x14ac:dyDescent="0.25">
      <c r="A245" s="475"/>
      <c r="B245" s="475"/>
      <c r="C245" s="475"/>
      <c r="D245" s="475"/>
      <c r="E245" s="475"/>
    </row>
    <row r="246" spans="1:5" x14ac:dyDescent="0.25">
      <c r="A246" s="475"/>
      <c r="B246" s="475"/>
      <c r="C246" s="475"/>
      <c r="D246" s="475"/>
      <c r="E246" s="475"/>
    </row>
    <row r="247" spans="1:5" x14ac:dyDescent="0.25">
      <c r="A247" s="475"/>
      <c r="B247" s="475"/>
      <c r="C247" s="475"/>
      <c r="D247" s="475"/>
      <c r="E247" s="475"/>
    </row>
    <row r="248" spans="1:5" x14ac:dyDescent="0.25">
      <c r="A248" s="475"/>
      <c r="B248" s="475"/>
      <c r="C248" s="475"/>
      <c r="D248" s="475"/>
      <c r="E248" s="475"/>
    </row>
    <row r="249" spans="1:5" x14ac:dyDescent="0.25">
      <c r="A249" s="475"/>
      <c r="B249" s="475"/>
      <c r="C249" s="475"/>
      <c r="D249" s="475"/>
      <c r="E249" s="475"/>
    </row>
    <row r="250" spans="1:5" x14ac:dyDescent="0.25">
      <c r="A250" s="475"/>
      <c r="B250" s="475"/>
      <c r="C250" s="475"/>
      <c r="D250" s="475"/>
      <c r="E250" s="475"/>
    </row>
    <row r="251" spans="1:5" x14ac:dyDescent="0.25">
      <c r="A251" s="475"/>
      <c r="B251" s="475"/>
      <c r="C251" s="475"/>
      <c r="D251" s="475"/>
      <c r="E251" s="475"/>
    </row>
    <row r="252" spans="1:5" x14ac:dyDescent="0.25">
      <c r="A252" s="475"/>
      <c r="B252" s="475"/>
      <c r="C252" s="475"/>
      <c r="D252" s="475"/>
      <c r="E252" s="475"/>
    </row>
    <row r="253" spans="1:5" x14ac:dyDescent="0.25">
      <c r="A253" s="475"/>
      <c r="B253" s="475"/>
      <c r="C253" s="475"/>
      <c r="D253" s="475"/>
      <c r="E253" s="475"/>
    </row>
    <row r="254" spans="1:5" x14ac:dyDescent="0.25">
      <c r="A254" s="475"/>
      <c r="B254" s="475"/>
      <c r="C254" s="475"/>
      <c r="D254" s="475"/>
      <c r="E254" s="475"/>
    </row>
    <row r="255" spans="1:5" x14ac:dyDescent="0.25">
      <c r="A255" s="475"/>
      <c r="B255" s="475"/>
      <c r="C255" s="475"/>
      <c r="D255" s="475"/>
      <c r="E255" s="475"/>
    </row>
    <row r="256" spans="1:5" x14ac:dyDescent="0.25">
      <c r="A256" s="475"/>
      <c r="B256" s="475"/>
      <c r="C256" s="475"/>
      <c r="D256" s="475"/>
      <c r="E256" s="475"/>
    </row>
    <row r="257" spans="1:5" x14ac:dyDescent="0.25">
      <c r="A257" s="475"/>
      <c r="B257" s="475"/>
      <c r="C257" s="475"/>
      <c r="D257" s="475"/>
      <c r="E257" s="475"/>
    </row>
    <row r="258" spans="1:5" x14ac:dyDescent="0.25">
      <c r="A258" s="475"/>
      <c r="B258" s="475"/>
      <c r="C258" s="475"/>
      <c r="D258" s="475"/>
      <c r="E258" s="475"/>
    </row>
    <row r="259" spans="1:5" x14ac:dyDescent="0.25">
      <c r="A259" s="475"/>
      <c r="B259" s="475"/>
      <c r="C259" s="475"/>
      <c r="D259" s="475"/>
      <c r="E259" s="475"/>
    </row>
    <row r="260" spans="1:5" x14ac:dyDescent="0.25">
      <c r="A260" s="475"/>
      <c r="B260" s="475"/>
      <c r="C260" s="475"/>
      <c r="D260" s="475"/>
      <c r="E260" s="475"/>
    </row>
    <row r="261" spans="1:5" x14ac:dyDescent="0.25">
      <c r="A261" s="475"/>
      <c r="B261" s="475"/>
      <c r="C261" s="475"/>
      <c r="D261" s="475"/>
      <c r="E261" s="475"/>
    </row>
    <row r="262" spans="1:5" x14ac:dyDescent="0.25">
      <c r="A262" s="475"/>
      <c r="B262" s="475"/>
      <c r="C262" s="475"/>
      <c r="D262" s="475"/>
      <c r="E262" s="475"/>
    </row>
    <row r="263" spans="1:5" x14ac:dyDescent="0.25">
      <c r="A263" s="475"/>
      <c r="B263" s="475"/>
      <c r="C263" s="475"/>
      <c r="D263" s="475"/>
      <c r="E263" s="475"/>
    </row>
    <row r="264" spans="1:5" x14ac:dyDescent="0.25">
      <c r="A264" s="475"/>
      <c r="B264" s="475"/>
      <c r="C264" s="475"/>
      <c r="D264" s="475"/>
      <c r="E264" s="475"/>
    </row>
    <row r="265" spans="1:5" x14ac:dyDescent="0.25">
      <c r="A265" s="475"/>
      <c r="B265" s="475"/>
      <c r="C265" s="475"/>
      <c r="D265" s="475"/>
      <c r="E265" s="475"/>
    </row>
    <row r="266" spans="1:5" x14ac:dyDescent="0.25">
      <c r="A266" s="475"/>
      <c r="B266" s="475"/>
      <c r="C266" s="475"/>
      <c r="D266" s="475"/>
      <c r="E266" s="475"/>
    </row>
    <row r="267" spans="1:5" x14ac:dyDescent="0.25">
      <c r="A267" s="475"/>
      <c r="B267" s="475"/>
      <c r="C267" s="475"/>
      <c r="D267" s="475"/>
      <c r="E267" s="475"/>
    </row>
    <row r="268" spans="1:5" x14ac:dyDescent="0.25">
      <c r="A268" s="475"/>
      <c r="B268" s="475"/>
      <c r="C268" s="475"/>
      <c r="D268" s="475"/>
      <c r="E268" s="475"/>
    </row>
    <row r="269" spans="1:5" x14ac:dyDescent="0.25">
      <c r="A269" s="475"/>
      <c r="B269" s="475"/>
      <c r="C269" s="475"/>
      <c r="D269" s="475"/>
      <c r="E269" s="475"/>
    </row>
    <row r="270" spans="1:5" x14ac:dyDescent="0.25">
      <c r="A270" s="475"/>
      <c r="B270" s="475"/>
      <c r="C270" s="475"/>
      <c r="D270" s="475"/>
      <c r="E270" s="475"/>
    </row>
    <row r="271" spans="1:5" x14ac:dyDescent="0.25">
      <c r="A271" s="475"/>
      <c r="B271" s="475"/>
      <c r="C271" s="475"/>
      <c r="D271" s="475"/>
      <c r="E271" s="475"/>
    </row>
    <row r="272" spans="1:5" x14ac:dyDescent="0.25">
      <c r="A272" s="475"/>
      <c r="B272" s="475"/>
      <c r="C272" s="475"/>
      <c r="D272" s="475"/>
      <c r="E272" s="475"/>
    </row>
    <row r="273" spans="1:5" x14ac:dyDescent="0.25">
      <c r="A273" s="475"/>
      <c r="B273" s="475"/>
      <c r="C273" s="475"/>
      <c r="D273" s="475"/>
      <c r="E273" s="475"/>
    </row>
    <row r="274" spans="1:5" x14ac:dyDescent="0.25">
      <c r="A274" s="475"/>
      <c r="B274" s="475"/>
      <c r="C274" s="475"/>
      <c r="D274" s="475"/>
      <c r="E274" s="475"/>
    </row>
    <row r="275" spans="1:5" x14ac:dyDescent="0.25">
      <c r="A275" s="475"/>
      <c r="B275" s="475"/>
      <c r="C275" s="475"/>
      <c r="D275" s="475"/>
      <c r="E275" s="475"/>
    </row>
    <row r="276" spans="1:5" x14ac:dyDescent="0.25">
      <c r="A276" s="475"/>
      <c r="B276" s="475"/>
      <c r="C276" s="475"/>
      <c r="D276" s="475"/>
      <c r="E276" s="475"/>
    </row>
  </sheetData>
  <sheetProtection algorithmName="SHA-512" hashValue="HwBIKJNRVlGAeTy4EvK63yTy4JdyREQilgfrsKtR7fSmIph1rDIMfqxYWNI+wrEgyBmQH7UqwfjrsPu6opTIfQ==" saltValue="w7Oz0SdCOTfHWEXtq3fUbA==" spinCount="100000" sheet="1" objects="1" scenarios="1"/>
  <mergeCells count="15">
    <mergeCell ref="C61:C62"/>
    <mergeCell ref="D61:D62"/>
    <mergeCell ref="C140:D140"/>
    <mergeCell ref="C70:D70"/>
    <mergeCell ref="C93:D93"/>
    <mergeCell ref="C103:D103"/>
    <mergeCell ref="C124:D124"/>
    <mergeCell ref="C133:D133"/>
    <mergeCell ref="C80:C81"/>
    <mergeCell ref="D80:D81"/>
    <mergeCell ref="F25:G25"/>
    <mergeCell ref="C45:D45"/>
    <mergeCell ref="F45:G45"/>
    <mergeCell ref="C9:D9"/>
    <mergeCell ref="C25:D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58"/>
  <sheetViews>
    <sheetView showGridLines="0" zoomScaleNormal="100" workbookViewId="0">
      <pane ySplit="7" topLeftCell="A8" activePane="bottomLeft" state="frozen"/>
      <selection pane="bottomLeft" activeCell="A8" sqref="A8"/>
    </sheetView>
  </sheetViews>
  <sheetFormatPr defaultColWidth="9.140625" defaultRowHeight="15" outlineLevelCol="1" x14ac:dyDescent="0.25"/>
  <cols>
    <col min="1" max="1" width="49.28515625" style="28" customWidth="1"/>
    <col min="2" max="2" width="45.28515625" style="28" customWidth="1" outlineLevel="1"/>
    <col min="3" max="3" width="10" style="28" customWidth="1"/>
    <col min="4" max="5" width="11" style="28" customWidth="1"/>
    <col min="6" max="6" width="2.42578125" style="28" customWidth="1"/>
    <col min="7" max="8" width="15.85546875" style="28" customWidth="1"/>
    <col min="9" max="16384" width="9.140625" style="28"/>
  </cols>
  <sheetData>
    <row r="1" spans="1:8" x14ac:dyDescent="0.25">
      <c r="A1" s="27" t="str">
        <f>'Key Figures'!A1</f>
        <v>LATVENERGO KONCERNA KONSOLIDĒTIE un</v>
      </c>
      <c r="B1" s="27" t="str">
        <f>'Key Figures'!B1</f>
        <v>LATVENERGO GROUP CONSOLIDATED and</v>
      </c>
    </row>
    <row r="2" spans="1:8" x14ac:dyDescent="0.25">
      <c r="A2" s="27" t="str">
        <f>'Key Figures'!A2</f>
        <v>AS „LATVENERGO” 2017. GADA FINANŠU PĀRSKATI</v>
      </c>
      <c r="B2" s="27" t="str">
        <f>'Key Figures'!B2</f>
        <v>LATVENERGO AS FINANCIAL STATEMENTS 2017</v>
      </c>
      <c r="D2" s="52"/>
    </row>
    <row r="3" spans="1:8" ht="18" x14ac:dyDescent="0.25">
      <c r="A3" s="24" t="s">
        <v>1093</v>
      </c>
      <c r="B3" s="24" t="s">
        <v>1092</v>
      </c>
      <c r="H3" s="52"/>
    </row>
    <row r="4" spans="1:8" s="48" customFormat="1" ht="19.5" thickBot="1" x14ac:dyDescent="0.25">
      <c r="B4" s="1"/>
      <c r="H4" s="1458" t="str">
        <f>'Profit or Loss'!H4</f>
        <v>EUR’000</v>
      </c>
    </row>
    <row r="5" spans="1:8" s="25" customFormat="1" ht="18.75" x14ac:dyDescent="0.25">
      <c r="A5" s="1470"/>
      <c r="B5" s="1470"/>
      <c r="C5" s="1468" t="s">
        <v>453</v>
      </c>
      <c r="D5" s="1467" t="s">
        <v>949</v>
      </c>
      <c r="E5" s="1467"/>
      <c r="F5" s="176"/>
      <c r="G5" s="1467" t="s">
        <v>1403</v>
      </c>
      <c r="H5" s="1467"/>
    </row>
    <row r="6" spans="1:8" s="23" customFormat="1" ht="15.75" thickBot="1" x14ac:dyDescent="0.3">
      <c r="A6" s="1471"/>
      <c r="B6" s="1471"/>
      <c r="C6" s="1469"/>
      <c r="D6" s="1459" t="s">
        <v>957</v>
      </c>
      <c r="E6" s="1460" t="s">
        <v>819</v>
      </c>
      <c r="F6" s="1461"/>
      <c r="G6" s="1459" t="s">
        <v>957</v>
      </c>
      <c r="H6" s="1460" t="s">
        <v>819</v>
      </c>
    </row>
    <row r="7" spans="1:8" s="23" customFormat="1" x14ac:dyDescent="0.25">
      <c r="A7" s="2"/>
      <c r="B7" s="2"/>
      <c r="C7" s="91"/>
      <c r="D7" s="853"/>
      <c r="E7" s="15"/>
      <c r="F7" s="49"/>
      <c r="G7" s="853"/>
      <c r="H7" s="15"/>
    </row>
    <row r="8" spans="1:8" s="23" customFormat="1" x14ac:dyDescent="0.25">
      <c r="A8" s="85" t="s">
        <v>15</v>
      </c>
      <c r="B8" s="86" t="s">
        <v>206</v>
      </c>
      <c r="C8" s="87"/>
      <c r="D8" s="876"/>
      <c r="E8" s="87"/>
      <c r="F8" s="49"/>
      <c r="G8" s="876"/>
      <c r="H8" s="87"/>
    </row>
    <row r="9" spans="1:8" s="23" customFormat="1" x14ac:dyDescent="0.25">
      <c r="A9" s="244" t="s">
        <v>16</v>
      </c>
      <c r="B9" s="245" t="s">
        <v>716</v>
      </c>
      <c r="C9" s="246"/>
      <c r="D9" s="877"/>
      <c r="E9" s="246"/>
      <c r="F9" s="247"/>
      <c r="G9" s="877"/>
      <c r="H9" s="246"/>
    </row>
    <row r="10" spans="1:8" s="23" customFormat="1" x14ac:dyDescent="0.25">
      <c r="A10" s="248" t="s">
        <v>17</v>
      </c>
      <c r="B10" s="182" t="s">
        <v>207</v>
      </c>
      <c r="C10" s="246" t="s">
        <v>712</v>
      </c>
      <c r="D10" s="839">
        <v>13413</v>
      </c>
      <c r="E10" s="184">
        <v>14534</v>
      </c>
      <c r="F10" s="177"/>
      <c r="G10" s="839">
        <v>17461</v>
      </c>
      <c r="H10" s="184">
        <v>18769</v>
      </c>
    </row>
    <row r="11" spans="1:8" s="23" customFormat="1" x14ac:dyDescent="0.25">
      <c r="A11" s="248" t="s">
        <v>18</v>
      </c>
      <c r="B11" s="182" t="s">
        <v>208</v>
      </c>
      <c r="C11" s="246" t="s">
        <v>713</v>
      </c>
      <c r="D11" s="839">
        <v>3308985</v>
      </c>
      <c r="E11" s="184">
        <v>3355797</v>
      </c>
      <c r="F11" s="177"/>
      <c r="G11" s="839">
        <v>1231454</v>
      </c>
      <c r="H11" s="184">
        <v>1322518</v>
      </c>
    </row>
    <row r="12" spans="1:8" s="23" customFormat="1" x14ac:dyDescent="0.25">
      <c r="A12" s="248" t="s">
        <v>19</v>
      </c>
      <c r="B12" s="182" t="s">
        <v>209</v>
      </c>
      <c r="C12" s="246" t="s">
        <v>714</v>
      </c>
      <c r="D12" s="839">
        <v>753</v>
      </c>
      <c r="E12" s="184">
        <v>563</v>
      </c>
      <c r="F12" s="177"/>
      <c r="G12" s="839">
        <v>64807</v>
      </c>
      <c r="H12" s="184">
        <v>72833</v>
      </c>
    </row>
    <row r="13" spans="1:8" s="23" customFormat="1" x14ac:dyDescent="0.25">
      <c r="A13" s="248" t="s">
        <v>568</v>
      </c>
      <c r="B13" s="182" t="s">
        <v>681</v>
      </c>
      <c r="C13" s="246">
        <v>15</v>
      </c>
      <c r="D13" s="839">
        <v>40</v>
      </c>
      <c r="E13" s="184">
        <v>40</v>
      </c>
      <c r="F13" s="177"/>
      <c r="G13" s="839">
        <v>817048</v>
      </c>
      <c r="H13" s="184">
        <v>817048</v>
      </c>
    </row>
    <row r="14" spans="1:8" s="23" customFormat="1" x14ac:dyDescent="0.25">
      <c r="A14" s="248" t="s">
        <v>1094</v>
      </c>
      <c r="B14" s="182" t="s">
        <v>1095</v>
      </c>
      <c r="C14" s="246" t="s">
        <v>1508</v>
      </c>
      <c r="D14" s="839" t="s">
        <v>625</v>
      </c>
      <c r="E14" s="184" t="s">
        <v>625</v>
      </c>
      <c r="F14" s="177"/>
      <c r="G14" s="839">
        <v>397976</v>
      </c>
      <c r="H14" s="184">
        <v>377380</v>
      </c>
    </row>
    <row r="15" spans="1:8" s="23" customFormat="1" x14ac:dyDescent="0.25">
      <c r="A15" s="248" t="s">
        <v>20</v>
      </c>
      <c r="B15" s="182" t="s">
        <v>695</v>
      </c>
      <c r="C15" s="1167" t="s">
        <v>693</v>
      </c>
      <c r="D15" s="839">
        <v>3229</v>
      </c>
      <c r="E15" s="184">
        <v>986</v>
      </c>
      <c r="F15" s="177"/>
      <c r="G15" s="839">
        <v>284</v>
      </c>
      <c r="H15" s="184">
        <v>978</v>
      </c>
    </row>
    <row r="16" spans="1:8" s="23" customFormat="1" ht="15.75" thickBot="1" x14ac:dyDescent="0.3">
      <c r="A16" s="253" t="s">
        <v>21</v>
      </c>
      <c r="B16" s="199" t="s">
        <v>715</v>
      </c>
      <c r="C16" s="254" t="s">
        <v>678</v>
      </c>
      <c r="D16" s="855">
        <v>16984</v>
      </c>
      <c r="E16" s="201">
        <v>17034</v>
      </c>
      <c r="F16" s="177"/>
      <c r="G16" s="855">
        <v>16984</v>
      </c>
      <c r="H16" s="201">
        <v>17034</v>
      </c>
    </row>
    <row r="17" spans="1:8" s="23" customFormat="1" x14ac:dyDescent="0.25">
      <c r="A17" s="259" t="s">
        <v>22</v>
      </c>
      <c r="B17" s="260" t="s">
        <v>717</v>
      </c>
      <c r="C17" s="261"/>
      <c r="D17" s="878">
        <v>3343404</v>
      </c>
      <c r="E17" s="258">
        <v>3388954</v>
      </c>
      <c r="F17" s="177"/>
      <c r="G17" s="878">
        <v>2546014</v>
      </c>
      <c r="H17" s="258">
        <v>2626560</v>
      </c>
    </row>
    <row r="18" spans="1:8" s="23" customFormat="1" x14ac:dyDescent="0.25">
      <c r="A18" s="244" t="s">
        <v>23</v>
      </c>
      <c r="B18" s="244" t="s">
        <v>210</v>
      </c>
      <c r="C18" s="246"/>
      <c r="D18" s="840"/>
      <c r="E18" s="250"/>
      <c r="F18" s="177"/>
      <c r="G18" s="840"/>
      <c r="H18" s="250"/>
    </row>
    <row r="19" spans="1:8" s="23" customFormat="1" x14ac:dyDescent="0.25">
      <c r="A19" s="248" t="s">
        <v>24</v>
      </c>
      <c r="B19" s="248" t="s">
        <v>211</v>
      </c>
      <c r="C19" s="246">
        <v>16</v>
      </c>
      <c r="D19" s="839">
        <v>76247</v>
      </c>
      <c r="E19" s="184">
        <v>41458</v>
      </c>
      <c r="F19" s="177"/>
      <c r="G19" s="839">
        <v>61744</v>
      </c>
      <c r="H19" s="184">
        <v>9118</v>
      </c>
    </row>
    <row r="20" spans="1:8" s="23" customFormat="1" x14ac:dyDescent="0.25">
      <c r="A20" s="248" t="s">
        <v>1005</v>
      </c>
      <c r="B20" s="248" t="s">
        <v>1096</v>
      </c>
      <c r="C20" s="246">
        <v>16</v>
      </c>
      <c r="D20" s="839">
        <v>81</v>
      </c>
      <c r="E20" s="184"/>
      <c r="F20" s="177"/>
      <c r="G20" s="839">
        <v>80</v>
      </c>
      <c r="H20" s="184">
        <v>16693</v>
      </c>
    </row>
    <row r="21" spans="1:8" s="23" customFormat="1" x14ac:dyDescent="0.25">
      <c r="A21" s="248" t="s">
        <v>1020</v>
      </c>
      <c r="B21" s="182" t="s">
        <v>1021</v>
      </c>
      <c r="C21" s="1167" t="s">
        <v>692</v>
      </c>
      <c r="D21" s="1168">
        <v>105369</v>
      </c>
      <c r="E21" s="324">
        <v>118925</v>
      </c>
      <c r="F21" s="1135"/>
      <c r="G21" s="1168">
        <v>82799</v>
      </c>
      <c r="H21" s="324">
        <v>102056</v>
      </c>
    </row>
    <row r="22" spans="1:8" s="23" customFormat="1" x14ac:dyDescent="0.25">
      <c r="A22" s="480" t="s">
        <v>904</v>
      </c>
      <c r="B22" s="480" t="s">
        <v>906</v>
      </c>
      <c r="C22" s="1167" t="s">
        <v>693</v>
      </c>
      <c r="D22" s="1168">
        <v>646761</v>
      </c>
      <c r="E22" s="324">
        <v>155033</v>
      </c>
      <c r="F22" s="1135"/>
      <c r="G22" s="1168">
        <v>18079</v>
      </c>
      <c r="H22" s="324">
        <v>11603</v>
      </c>
    </row>
    <row r="23" spans="1:8" s="23" customFormat="1" x14ac:dyDescent="0.25">
      <c r="A23" s="248" t="s">
        <v>149</v>
      </c>
      <c r="B23" s="182" t="s">
        <v>522</v>
      </c>
      <c r="C23" s="246"/>
      <c r="D23" s="839">
        <v>3241</v>
      </c>
      <c r="E23" s="184">
        <v>3227</v>
      </c>
      <c r="F23" s="177"/>
      <c r="G23" s="839">
        <v>2205</v>
      </c>
      <c r="H23" s="184">
        <v>2189</v>
      </c>
    </row>
    <row r="24" spans="1:8" s="23" customFormat="1" x14ac:dyDescent="0.25">
      <c r="A24" s="248" t="s">
        <v>1099</v>
      </c>
      <c r="B24" s="182" t="s">
        <v>1100</v>
      </c>
      <c r="C24" s="246" t="s">
        <v>1508</v>
      </c>
      <c r="D24" s="839" t="s">
        <v>625</v>
      </c>
      <c r="E24" s="184" t="s">
        <v>625</v>
      </c>
      <c r="F24" s="177"/>
      <c r="G24" s="839">
        <v>700805</v>
      </c>
      <c r="H24" s="184">
        <v>245324</v>
      </c>
    </row>
    <row r="25" spans="1:8" s="23" customFormat="1" x14ac:dyDescent="0.25">
      <c r="A25" s="182" t="s">
        <v>25</v>
      </c>
      <c r="B25" s="182" t="s">
        <v>212</v>
      </c>
      <c r="C25" s="246" t="s">
        <v>680</v>
      </c>
      <c r="D25" s="839">
        <v>4619</v>
      </c>
      <c r="E25" s="184">
        <v>6134</v>
      </c>
      <c r="F25" s="177"/>
      <c r="G25" s="839">
        <v>4619</v>
      </c>
      <c r="H25" s="184">
        <v>6134</v>
      </c>
    </row>
    <row r="26" spans="1:8" s="23" customFormat="1" x14ac:dyDescent="0.25">
      <c r="A26" s="248" t="s">
        <v>21</v>
      </c>
      <c r="B26" s="182" t="s">
        <v>715</v>
      </c>
      <c r="C26" s="246" t="s">
        <v>678</v>
      </c>
      <c r="D26" s="839" t="s">
        <v>625</v>
      </c>
      <c r="E26" s="184">
        <v>3520</v>
      </c>
      <c r="F26" s="177"/>
      <c r="G26" s="839" t="s">
        <v>625</v>
      </c>
      <c r="H26" s="184">
        <v>3520</v>
      </c>
    </row>
    <row r="27" spans="1:8" s="23" customFormat="1" ht="15.75" thickBot="1" x14ac:dyDescent="0.3">
      <c r="A27" s="253" t="s">
        <v>26</v>
      </c>
      <c r="B27" s="199" t="s">
        <v>213</v>
      </c>
      <c r="C27" s="254">
        <v>18</v>
      </c>
      <c r="D27" s="855">
        <v>236003</v>
      </c>
      <c r="E27" s="201">
        <v>183980</v>
      </c>
      <c r="F27" s="177"/>
      <c r="G27" s="855">
        <v>232855</v>
      </c>
      <c r="H27" s="201">
        <v>181197</v>
      </c>
    </row>
    <row r="28" spans="1:8" s="23" customFormat="1" ht="15.75" thickBot="1" x14ac:dyDescent="0.3">
      <c r="A28" s="263" t="s">
        <v>27</v>
      </c>
      <c r="B28" s="264" t="s">
        <v>214</v>
      </c>
      <c r="C28" s="265"/>
      <c r="D28" s="879">
        <v>1072321</v>
      </c>
      <c r="E28" s="262">
        <v>512277</v>
      </c>
      <c r="F28" s="177"/>
      <c r="G28" s="879">
        <v>1103186</v>
      </c>
      <c r="H28" s="701">
        <v>577834</v>
      </c>
    </row>
    <row r="29" spans="1:8" s="23" customFormat="1" ht="15.75" thickBot="1" x14ac:dyDescent="0.3">
      <c r="A29" s="264" t="s">
        <v>28</v>
      </c>
      <c r="B29" s="264" t="s">
        <v>215</v>
      </c>
      <c r="C29" s="265"/>
      <c r="D29" s="880">
        <v>4415725</v>
      </c>
      <c r="E29" s="267">
        <v>3901231</v>
      </c>
      <c r="F29" s="177"/>
      <c r="G29" s="880">
        <v>3649200</v>
      </c>
      <c r="H29" s="267">
        <v>3204394</v>
      </c>
    </row>
    <row r="30" spans="1:8" s="23" customFormat="1" x14ac:dyDescent="0.25">
      <c r="A30" s="264" t="s">
        <v>1706</v>
      </c>
      <c r="B30" s="264" t="s">
        <v>1023</v>
      </c>
      <c r="C30" s="265"/>
      <c r="D30" s="880"/>
      <c r="E30" s="267"/>
      <c r="F30" s="177"/>
      <c r="G30" s="880"/>
      <c r="H30" s="267"/>
    </row>
    <row r="31" spans="1:8" s="23" customFormat="1" x14ac:dyDescent="0.25">
      <c r="A31" s="270" t="s">
        <v>29</v>
      </c>
      <c r="B31" s="270" t="s">
        <v>216</v>
      </c>
      <c r="C31" s="271"/>
      <c r="D31" s="881"/>
      <c r="E31" s="269"/>
      <c r="F31" s="177"/>
      <c r="G31" s="881"/>
      <c r="H31" s="269"/>
    </row>
    <row r="32" spans="1:8" s="23" customFormat="1" x14ac:dyDescent="0.25">
      <c r="A32" s="248" t="s">
        <v>30</v>
      </c>
      <c r="B32" s="182" t="s">
        <v>217</v>
      </c>
      <c r="C32" s="246">
        <v>19</v>
      </c>
      <c r="D32" s="839">
        <v>1288715</v>
      </c>
      <c r="E32" s="184">
        <v>1288715</v>
      </c>
      <c r="F32" s="177"/>
      <c r="G32" s="839">
        <v>1288715</v>
      </c>
      <c r="H32" s="184">
        <v>1288715</v>
      </c>
    </row>
    <row r="33" spans="1:8" s="23" customFormat="1" x14ac:dyDescent="0.25">
      <c r="A33" s="248" t="s">
        <v>47</v>
      </c>
      <c r="B33" s="182" t="s">
        <v>275</v>
      </c>
      <c r="C33" s="246" t="s">
        <v>711</v>
      </c>
      <c r="D33" s="839">
        <v>1126521</v>
      </c>
      <c r="E33" s="184">
        <v>937074</v>
      </c>
      <c r="F33" s="177"/>
      <c r="G33" s="839">
        <v>791906</v>
      </c>
      <c r="H33" s="184">
        <v>650020</v>
      </c>
    </row>
    <row r="34" spans="1:8" s="23" customFormat="1" ht="15.75" thickBot="1" x14ac:dyDescent="0.3">
      <c r="A34" s="253" t="s">
        <v>33</v>
      </c>
      <c r="B34" s="199" t="s">
        <v>220</v>
      </c>
      <c r="C34" s="254"/>
      <c r="D34" s="855">
        <v>423613</v>
      </c>
      <c r="E34" s="201">
        <v>185840</v>
      </c>
      <c r="F34" s="177"/>
      <c r="G34" s="855">
        <v>302017</v>
      </c>
      <c r="H34" s="201">
        <v>238334</v>
      </c>
    </row>
    <row r="35" spans="1:8" s="23" customFormat="1" ht="22.5" x14ac:dyDescent="0.2">
      <c r="A35" s="266" t="s">
        <v>836</v>
      </c>
      <c r="B35" s="260" t="s">
        <v>837</v>
      </c>
      <c r="C35" s="261"/>
      <c r="D35" s="866">
        <v>2838849</v>
      </c>
      <c r="E35" s="222">
        <v>2411629</v>
      </c>
      <c r="F35" s="177"/>
      <c r="G35" s="866">
        <v>2382638</v>
      </c>
      <c r="H35" s="222">
        <v>2177069</v>
      </c>
    </row>
    <row r="36" spans="1:8" s="23" customFormat="1" ht="15.75" thickBot="1" x14ac:dyDescent="0.3">
      <c r="A36" s="253" t="s">
        <v>34</v>
      </c>
      <c r="B36" s="256" t="s">
        <v>709</v>
      </c>
      <c r="C36" s="254"/>
      <c r="D36" s="855">
        <v>8042</v>
      </c>
      <c r="E36" s="201">
        <v>7084</v>
      </c>
      <c r="F36" s="177"/>
      <c r="G36" s="855" t="s">
        <v>625</v>
      </c>
      <c r="H36" s="201" t="s">
        <v>625</v>
      </c>
    </row>
    <row r="37" spans="1:8" s="23" customFormat="1" x14ac:dyDescent="0.25">
      <c r="A37" s="259" t="s">
        <v>35</v>
      </c>
      <c r="B37" s="260" t="s">
        <v>221</v>
      </c>
      <c r="C37" s="261"/>
      <c r="D37" s="878">
        <v>2846891</v>
      </c>
      <c r="E37" s="258">
        <v>2418713</v>
      </c>
      <c r="F37" s="177"/>
      <c r="G37" s="878">
        <v>2382638</v>
      </c>
      <c r="H37" s="258">
        <v>2177069</v>
      </c>
    </row>
    <row r="38" spans="1:8" s="23" customFormat="1" x14ac:dyDescent="0.25">
      <c r="A38" s="244" t="s">
        <v>36</v>
      </c>
      <c r="B38" s="244" t="s">
        <v>222</v>
      </c>
      <c r="C38" s="246"/>
      <c r="D38" s="882"/>
      <c r="E38" s="249"/>
      <c r="F38" s="177"/>
      <c r="G38" s="882"/>
      <c r="H38" s="249"/>
    </row>
    <row r="39" spans="1:8" s="23" customFormat="1" x14ac:dyDescent="0.25">
      <c r="A39" s="244" t="s">
        <v>37</v>
      </c>
      <c r="B39" s="244" t="s">
        <v>718</v>
      </c>
      <c r="C39" s="246"/>
      <c r="D39" s="840"/>
      <c r="E39" s="250"/>
      <c r="F39" s="177"/>
      <c r="G39" s="840"/>
      <c r="H39" s="250"/>
    </row>
    <row r="40" spans="1:8" s="23" customFormat="1" x14ac:dyDescent="0.25">
      <c r="A40" s="248" t="s">
        <v>38</v>
      </c>
      <c r="B40" s="182" t="s">
        <v>223</v>
      </c>
      <c r="C40" s="246" t="s">
        <v>679</v>
      </c>
      <c r="D40" s="839">
        <v>718674</v>
      </c>
      <c r="E40" s="184">
        <v>635620</v>
      </c>
      <c r="F40" s="177"/>
      <c r="G40" s="839">
        <v>710125</v>
      </c>
      <c r="H40" s="184">
        <v>627691</v>
      </c>
    </row>
    <row r="41" spans="1:8" s="23" customFormat="1" x14ac:dyDescent="0.25">
      <c r="A41" s="248" t="s">
        <v>39</v>
      </c>
      <c r="B41" s="182" t="s">
        <v>224</v>
      </c>
      <c r="C41" s="246">
        <v>12</v>
      </c>
      <c r="D41" s="839" t="s">
        <v>625</v>
      </c>
      <c r="E41" s="184">
        <v>315759</v>
      </c>
      <c r="F41" s="177"/>
      <c r="G41" s="839" t="s">
        <v>625</v>
      </c>
      <c r="H41" s="184">
        <v>126260</v>
      </c>
    </row>
    <row r="42" spans="1:8" s="23" customFormat="1" x14ac:dyDescent="0.25">
      <c r="A42" s="248" t="s">
        <v>192</v>
      </c>
      <c r="B42" s="182" t="s">
        <v>337</v>
      </c>
      <c r="C42" s="246">
        <v>22</v>
      </c>
      <c r="D42" s="839">
        <v>21910</v>
      </c>
      <c r="E42" s="184">
        <v>18643</v>
      </c>
      <c r="F42" s="177"/>
      <c r="G42" s="839">
        <v>8835</v>
      </c>
      <c r="H42" s="184">
        <v>7924</v>
      </c>
    </row>
    <row r="43" spans="1:8" s="23" customFormat="1" x14ac:dyDescent="0.25">
      <c r="A43" s="182" t="s">
        <v>25</v>
      </c>
      <c r="B43" s="182" t="s">
        <v>212</v>
      </c>
      <c r="C43" s="246" t="s">
        <v>680</v>
      </c>
      <c r="D43" s="839">
        <v>4914</v>
      </c>
      <c r="E43" s="184">
        <v>7946</v>
      </c>
      <c r="F43" s="177"/>
      <c r="G43" s="839">
        <v>4914</v>
      </c>
      <c r="H43" s="184">
        <v>7946</v>
      </c>
    </row>
    <row r="44" spans="1:8" s="23" customFormat="1" x14ac:dyDescent="0.25">
      <c r="A44" s="182" t="s">
        <v>1027</v>
      </c>
      <c r="B44" s="182" t="s">
        <v>1705</v>
      </c>
      <c r="C44" s="246" t="s">
        <v>1509</v>
      </c>
      <c r="D44" s="839">
        <v>142132</v>
      </c>
      <c r="E44" s="184">
        <v>141817</v>
      </c>
      <c r="F44" s="177"/>
      <c r="G44" s="839" t="s">
        <v>625</v>
      </c>
      <c r="H44" s="184" t="s">
        <v>625</v>
      </c>
    </row>
    <row r="45" spans="1:8" s="23" customFormat="1" ht="15.75" thickBot="1" x14ac:dyDescent="0.3">
      <c r="A45" s="312" t="s">
        <v>40</v>
      </c>
      <c r="B45" s="191" t="s">
        <v>225</v>
      </c>
      <c r="C45" s="543" t="s">
        <v>1510</v>
      </c>
      <c r="D45" s="857">
        <v>350926</v>
      </c>
      <c r="E45" s="397">
        <v>53590</v>
      </c>
      <c r="F45" s="177"/>
      <c r="G45" s="857">
        <v>286085</v>
      </c>
      <c r="H45" s="397">
        <v>1055</v>
      </c>
    </row>
    <row r="46" spans="1:8" s="23" customFormat="1" x14ac:dyDescent="0.25">
      <c r="A46" s="259" t="s">
        <v>41</v>
      </c>
      <c r="B46" s="259" t="s">
        <v>719</v>
      </c>
      <c r="C46" s="261"/>
      <c r="D46" s="687">
        <v>1238556</v>
      </c>
      <c r="E46" s="205">
        <v>1173375</v>
      </c>
      <c r="F46" s="177"/>
      <c r="G46" s="687">
        <v>1009959</v>
      </c>
      <c r="H46" s="205">
        <v>770876</v>
      </c>
    </row>
    <row r="47" spans="1:8" s="23" customFormat="1" x14ac:dyDescent="0.25">
      <c r="A47" s="244" t="s">
        <v>42</v>
      </c>
      <c r="B47" s="244" t="s">
        <v>226</v>
      </c>
      <c r="C47" s="246"/>
      <c r="D47" s="883"/>
      <c r="E47" s="210"/>
      <c r="F47" s="177"/>
      <c r="G47" s="883"/>
      <c r="H47" s="210"/>
    </row>
    <row r="48" spans="1:8" s="23" customFormat="1" x14ac:dyDescent="0.25">
      <c r="A48" s="248" t="s">
        <v>43</v>
      </c>
      <c r="B48" s="182" t="s">
        <v>227</v>
      </c>
      <c r="C48" s="246">
        <v>24</v>
      </c>
      <c r="D48" s="839">
        <v>147072</v>
      </c>
      <c r="E48" s="184">
        <v>117817</v>
      </c>
      <c r="F48" s="177"/>
      <c r="G48" s="839">
        <v>94689</v>
      </c>
      <c r="H48" s="184">
        <v>85569</v>
      </c>
    </row>
    <row r="49" spans="1:8" s="23" customFormat="1" x14ac:dyDescent="0.25">
      <c r="A49" s="248" t="s">
        <v>1027</v>
      </c>
      <c r="B49" s="182" t="s">
        <v>1705</v>
      </c>
      <c r="C49" s="246" t="s">
        <v>1509</v>
      </c>
      <c r="D49" s="839">
        <v>12500</v>
      </c>
      <c r="E49" s="184">
        <v>11605</v>
      </c>
      <c r="F49" s="177"/>
      <c r="G49" s="839" t="s">
        <v>625</v>
      </c>
      <c r="H49" s="184" t="s">
        <v>625</v>
      </c>
    </row>
    <row r="50" spans="1:8" s="23" customFormat="1" x14ac:dyDescent="0.25">
      <c r="A50" s="248" t="s">
        <v>999</v>
      </c>
      <c r="B50" s="182" t="s">
        <v>1003</v>
      </c>
      <c r="C50" s="246" t="s">
        <v>1510</v>
      </c>
      <c r="D50" s="839">
        <v>31728</v>
      </c>
      <c r="E50" s="184">
        <v>2417</v>
      </c>
      <c r="F50" s="177"/>
      <c r="G50" s="839">
        <v>29358</v>
      </c>
      <c r="H50" s="184">
        <v>59</v>
      </c>
    </row>
    <row r="51" spans="1:8" s="23" customFormat="1" x14ac:dyDescent="0.25">
      <c r="A51" s="248" t="s">
        <v>44</v>
      </c>
      <c r="B51" s="182" t="s">
        <v>228</v>
      </c>
      <c r="C51" s="246"/>
      <c r="D51" s="839">
        <v>27725</v>
      </c>
      <c r="E51" s="184">
        <v>17718</v>
      </c>
      <c r="F51" s="177"/>
      <c r="G51" s="839">
        <v>24739</v>
      </c>
      <c r="H51" s="184">
        <v>16549</v>
      </c>
    </row>
    <row r="52" spans="1:8" s="23" customFormat="1" x14ac:dyDescent="0.25">
      <c r="A52" s="248" t="s">
        <v>38</v>
      </c>
      <c r="B52" s="182" t="s">
        <v>223</v>
      </c>
      <c r="C52" s="246" t="s">
        <v>679</v>
      </c>
      <c r="D52" s="839">
        <v>108083</v>
      </c>
      <c r="E52" s="184">
        <v>155946</v>
      </c>
      <c r="F52" s="177"/>
      <c r="G52" s="839">
        <v>104647</v>
      </c>
      <c r="H52" s="184">
        <v>150632</v>
      </c>
    </row>
    <row r="53" spans="1:8" s="23" customFormat="1" ht="15.75" thickBot="1" x14ac:dyDescent="0.3">
      <c r="A53" s="199" t="s">
        <v>25</v>
      </c>
      <c r="B53" s="199" t="s">
        <v>212</v>
      </c>
      <c r="C53" s="254" t="s">
        <v>680</v>
      </c>
      <c r="D53" s="855">
        <v>3170</v>
      </c>
      <c r="E53" s="201">
        <v>3640</v>
      </c>
      <c r="F53" s="177"/>
      <c r="G53" s="855">
        <v>3170</v>
      </c>
      <c r="H53" s="201">
        <v>3640</v>
      </c>
    </row>
    <row r="54" spans="1:8" s="23" customFormat="1" ht="15.75" thickBot="1" x14ac:dyDescent="0.3">
      <c r="A54" s="263" t="s">
        <v>45</v>
      </c>
      <c r="B54" s="264" t="s">
        <v>229</v>
      </c>
      <c r="C54" s="265"/>
      <c r="D54" s="880">
        <v>330278</v>
      </c>
      <c r="E54" s="267">
        <v>309143</v>
      </c>
      <c r="F54" s="177"/>
      <c r="G54" s="880">
        <v>256603</v>
      </c>
      <c r="H54" s="267">
        <v>256449</v>
      </c>
    </row>
    <row r="55" spans="1:8" s="23" customFormat="1" ht="15.75" thickBot="1" x14ac:dyDescent="0.3">
      <c r="A55" s="273" t="s">
        <v>46</v>
      </c>
      <c r="B55" s="274" t="s">
        <v>230</v>
      </c>
      <c r="C55" s="275"/>
      <c r="D55" s="884">
        <v>4415725</v>
      </c>
      <c r="E55" s="272">
        <v>3901231</v>
      </c>
      <c r="F55" s="177"/>
      <c r="G55" s="884">
        <v>3649200</v>
      </c>
      <c r="H55" s="272">
        <v>3204394</v>
      </c>
    </row>
    <row r="56" spans="1:8" x14ac:dyDescent="0.25">
      <c r="A56" s="252"/>
      <c r="B56" s="252"/>
      <c r="C56" s="252"/>
      <c r="D56" s="252"/>
      <c r="E56" s="252"/>
      <c r="F56" s="252"/>
      <c r="G56" s="252"/>
      <c r="H56" s="252"/>
    </row>
    <row r="57" spans="1:8" x14ac:dyDescent="0.25">
      <c r="A57" s="252"/>
      <c r="B57" s="252"/>
      <c r="C57" s="252"/>
      <c r="D57" s="305"/>
      <c r="E57" s="305"/>
      <c r="F57" s="252"/>
      <c r="G57" s="252"/>
      <c r="H57" s="252"/>
    </row>
    <row r="58" spans="1:8" x14ac:dyDescent="0.25">
      <c r="E58" s="50"/>
    </row>
  </sheetData>
  <sheetProtection algorithmName="SHA-512" hashValue="Nd9bfITSQ5RYefQZ0Ock6I/f5qu8DER4KxOdnk9pCivH/AL7/ziil75wGQHfJ6urUThtOJ94OB7v394wcmUaKQ==" saltValue="g/2+5Ao8lMQAjSq8SdtPCQ==" spinCount="100000" sheet="1" objects="1" scenarios="1"/>
  <mergeCells count="5">
    <mergeCell ref="A5:A6"/>
    <mergeCell ref="B5:B6"/>
    <mergeCell ref="C5:C6"/>
    <mergeCell ref="D5:E5"/>
    <mergeCell ref="G5:H5"/>
  </mergeCells>
  <pageMargins left="1.1811023622047245" right="0" top="0" bottom="0" header="0" footer="0"/>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3"/>
  <sheetViews>
    <sheetView showGridLines="0" workbookViewId="0">
      <pane ySplit="3" topLeftCell="A4" activePane="bottomLeft" state="frozen"/>
      <selection pane="bottomLeft" activeCell="A4" sqref="A4"/>
    </sheetView>
  </sheetViews>
  <sheetFormatPr defaultColWidth="9.140625" defaultRowHeight="15" outlineLevelRow="1" outlineLevelCol="1" x14ac:dyDescent="0.25"/>
  <cols>
    <col min="1" max="1" width="50.42578125" style="28" customWidth="1"/>
    <col min="2" max="2" width="44.85546875" style="28" customWidth="1" outlineLevel="1"/>
    <col min="3" max="3" width="10.42578125" style="28" customWidth="1"/>
    <col min="4" max="4" width="8.7109375" style="56" customWidth="1"/>
    <col min="5" max="8" width="11.85546875" style="28" customWidth="1"/>
    <col min="9" max="9" width="13" style="28" customWidth="1"/>
    <col min="10" max="10" width="10" style="28" bestFit="1" customWidth="1"/>
    <col min="11" max="16384" width="9.140625" style="28"/>
  </cols>
  <sheetData>
    <row r="1" spans="1:10" x14ac:dyDescent="0.25">
      <c r="A1" s="27" t="str">
        <f>'Key Figures'!A1</f>
        <v>LATVENERGO KONCERNA KONSOLIDĒTIE un</v>
      </c>
      <c r="B1" s="27" t="str">
        <f>'Key Figures'!B1</f>
        <v>LATVENERGO GROUP CONSOLIDATED and</v>
      </c>
      <c r="C1" s="27"/>
      <c r="D1" s="67"/>
    </row>
    <row r="2" spans="1:10" x14ac:dyDescent="0.25">
      <c r="A2" s="27" t="str">
        <f>'Key Figures'!A2</f>
        <v>AS „LATVENERGO” 2017. GADA FINANŠU PĀRSKATI</v>
      </c>
      <c r="B2" s="27" t="str">
        <f>'Key Figures'!B2</f>
        <v>LATVENERGO AS FINANCIAL STATEMENTS 2017</v>
      </c>
      <c r="C2" s="27"/>
      <c r="D2" s="67"/>
    </row>
    <row r="3" spans="1:10" ht="18" x14ac:dyDescent="0.25">
      <c r="A3" s="1" t="s">
        <v>1109</v>
      </c>
      <c r="B3" s="1" t="s">
        <v>1110</v>
      </c>
      <c r="C3" s="56"/>
    </row>
    <row r="4" spans="1:10" s="48" customFormat="1" ht="18.75" outlineLevel="1" x14ac:dyDescent="0.25">
      <c r="A4" s="1"/>
      <c r="D4" s="68"/>
      <c r="J4" s="276"/>
    </row>
    <row r="5" spans="1:10" s="48" customFormat="1" ht="18.75" x14ac:dyDescent="0.25">
      <c r="A5" s="1"/>
      <c r="D5" s="68"/>
      <c r="J5" s="276"/>
    </row>
    <row r="6" spans="1:10" s="48" customFormat="1" ht="21" thickBot="1" x14ac:dyDescent="0.3">
      <c r="A6" s="277" t="s">
        <v>954</v>
      </c>
      <c r="D6" s="68"/>
      <c r="I6" s="710" t="s">
        <v>51</v>
      </c>
    </row>
    <row r="7" spans="1:10" ht="16.5" customHeight="1" thickBot="1" x14ac:dyDescent="0.3">
      <c r="A7" s="1481"/>
      <c r="B7" s="329"/>
      <c r="C7" s="1481" t="s">
        <v>453</v>
      </c>
      <c r="D7" s="1483" t="s">
        <v>838</v>
      </c>
      <c r="E7" s="1483"/>
      <c r="F7" s="1483"/>
      <c r="G7" s="1483"/>
      <c r="H7" s="1481" t="s">
        <v>49</v>
      </c>
      <c r="I7" s="1481" t="s">
        <v>50</v>
      </c>
    </row>
    <row r="8" spans="1:10" ht="24.75" thickBot="1" x14ac:dyDescent="0.3">
      <c r="A8" s="1482"/>
      <c r="B8" s="286"/>
      <c r="C8" s="1482"/>
      <c r="D8" s="1440" t="s">
        <v>30</v>
      </c>
      <c r="E8" s="1440" t="s">
        <v>47</v>
      </c>
      <c r="F8" s="1440" t="s">
        <v>33</v>
      </c>
      <c r="G8" s="1440" t="s">
        <v>48</v>
      </c>
      <c r="H8" s="1487"/>
      <c r="I8" s="1487"/>
    </row>
    <row r="9" spans="1:10" ht="22.7" customHeight="1" outlineLevel="1" thickBot="1" x14ac:dyDescent="0.3">
      <c r="A9" s="1472"/>
      <c r="B9" s="1472"/>
      <c r="C9" s="1482"/>
      <c r="D9" s="1484" t="s">
        <v>839</v>
      </c>
      <c r="E9" s="1484"/>
      <c r="F9" s="1484"/>
      <c r="G9" s="1484"/>
      <c r="H9" s="1485" t="s">
        <v>1708</v>
      </c>
      <c r="I9" s="1485" t="s">
        <v>277</v>
      </c>
    </row>
    <row r="10" spans="1:10" ht="24.75" outlineLevel="1" thickBot="1" x14ac:dyDescent="0.3">
      <c r="A10" s="1472"/>
      <c r="B10" s="1472"/>
      <c r="C10" s="1487"/>
      <c r="D10" s="1463" t="s">
        <v>217</v>
      </c>
      <c r="E10" s="1463" t="s">
        <v>275</v>
      </c>
      <c r="F10" s="1463" t="s">
        <v>220</v>
      </c>
      <c r="G10" s="1463" t="s">
        <v>276</v>
      </c>
      <c r="H10" s="1486"/>
      <c r="I10" s="1486"/>
    </row>
    <row r="11" spans="1:10" s="31" customFormat="1" ht="11.25" x14ac:dyDescent="0.25">
      <c r="A11" s="325"/>
      <c r="B11" s="325"/>
      <c r="C11" s="288"/>
      <c r="D11" s="289"/>
      <c r="E11" s="289"/>
      <c r="F11" s="289"/>
      <c r="G11" s="289"/>
      <c r="H11" s="289"/>
      <c r="I11" s="106"/>
    </row>
    <row r="12" spans="1:10" ht="12.2" customHeight="1" thickBot="1" x14ac:dyDescent="0.3">
      <c r="A12" s="188"/>
      <c r="B12" s="188"/>
      <c r="C12" s="290"/>
      <c r="D12" s="249"/>
      <c r="E12" s="249"/>
      <c r="F12" s="249"/>
      <c r="G12" s="249"/>
      <c r="H12" s="249"/>
      <c r="I12" s="249"/>
    </row>
    <row r="13" spans="1:10" ht="12.2" customHeight="1" thickBot="1" x14ac:dyDescent="0.3">
      <c r="A13" s="885" t="s">
        <v>732</v>
      </c>
      <c r="B13" s="885" t="s">
        <v>799</v>
      </c>
      <c r="C13" s="886"/>
      <c r="D13" s="784">
        <v>1288531</v>
      </c>
      <c r="E13" s="784">
        <v>669596</v>
      </c>
      <c r="F13" s="784">
        <v>131662</v>
      </c>
      <c r="G13" s="784">
        <v>2089789</v>
      </c>
      <c r="H13" s="784">
        <v>6913</v>
      </c>
      <c r="I13" s="784">
        <v>2096702</v>
      </c>
    </row>
    <row r="14" spans="1:10" ht="12.2" customHeight="1" x14ac:dyDescent="0.25">
      <c r="A14" s="191"/>
      <c r="B14" s="191"/>
      <c r="C14" s="192"/>
      <c r="D14" s="150"/>
      <c r="E14" s="100"/>
      <c r="F14" s="100"/>
      <c r="G14" s="150"/>
      <c r="H14" s="100"/>
      <c r="I14" s="811"/>
    </row>
    <row r="15" spans="1:10" ht="12.2" customHeight="1" x14ac:dyDescent="0.25">
      <c r="A15" s="179" t="s">
        <v>403</v>
      </c>
      <c r="B15" s="179" t="s">
        <v>404</v>
      </c>
      <c r="C15" s="227" t="s">
        <v>817</v>
      </c>
      <c r="D15" s="292">
        <v>184</v>
      </c>
      <c r="E15" s="269" t="s">
        <v>625</v>
      </c>
      <c r="F15" s="269" t="s">
        <v>625</v>
      </c>
      <c r="G15" s="293">
        <v>184</v>
      </c>
      <c r="H15" s="269" t="s">
        <v>625</v>
      </c>
      <c r="I15" s="293">
        <v>184</v>
      </c>
    </row>
    <row r="16" spans="1:10" ht="12.2" customHeight="1" x14ac:dyDescent="0.25">
      <c r="A16" s="182" t="s">
        <v>802</v>
      </c>
      <c r="B16" s="182" t="s">
        <v>803</v>
      </c>
      <c r="C16" s="183" t="s">
        <v>710</v>
      </c>
      <c r="D16" s="250" t="s">
        <v>625</v>
      </c>
      <c r="E16" s="250" t="s">
        <v>625</v>
      </c>
      <c r="F16" s="294">
        <v>-77413</v>
      </c>
      <c r="G16" s="295">
        <v>-77413</v>
      </c>
      <c r="H16" s="294">
        <v>-1377</v>
      </c>
      <c r="I16" s="295">
        <v>-78790</v>
      </c>
    </row>
    <row r="17" spans="1:9" ht="22.5" x14ac:dyDescent="0.2">
      <c r="A17" s="182" t="s">
        <v>853</v>
      </c>
      <c r="B17" s="182" t="s">
        <v>1714</v>
      </c>
      <c r="C17" s="186" t="s">
        <v>711</v>
      </c>
      <c r="D17" s="302" t="s">
        <v>625</v>
      </c>
      <c r="E17" s="283">
        <v>-4854</v>
      </c>
      <c r="F17" s="283">
        <v>4854</v>
      </c>
      <c r="G17" s="280" t="s">
        <v>625</v>
      </c>
      <c r="H17" s="283" t="s">
        <v>625</v>
      </c>
      <c r="I17" s="280" t="s">
        <v>625</v>
      </c>
    </row>
    <row r="18" spans="1:9" ht="23.25" customHeight="1" x14ac:dyDescent="0.2">
      <c r="A18" s="83" t="s">
        <v>1709</v>
      </c>
      <c r="B18" s="188" t="s">
        <v>951</v>
      </c>
      <c r="C18" s="290"/>
      <c r="D18" s="296">
        <v>184</v>
      </c>
      <c r="E18" s="297">
        <v>-4854</v>
      </c>
      <c r="F18" s="297">
        <v>-72559</v>
      </c>
      <c r="G18" s="297">
        <v>-77229</v>
      </c>
      <c r="H18" s="297">
        <v>-1377</v>
      </c>
      <c r="I18" s="297">
        <v>-78606</v>
      </c>
    </row>
    <row r="19" spans="1:9" ht="12.2" customHeight="1" x14ac:dyDescent="0.25">
      <c r="A19" s="191"/>
      <c r="B19" s="191"/>
      <c r="C19" s="192"/>
      <c r="D19" s="100"/>
      <c r="E19" s="100"/>
      <c r="F19" s="100"/>
      <c r="G19" s="100"/>
      <c r="H19" s="100"/>
      <c r="I19" s="101"/>
    </row>
    <row r="20" spans="1:9" ht="12.2" customHeight="1" x14ac:dyDescent="0.25">
      <c r="A20" s="179" t="s">
        <v>11</v>
      </c>
      <c r="B20" s="179" t="s">
        <v>202</v>
      </c>
      <c r="C20" s="227"/>
      <c r="D20" s="269" t="s">
        <v>625</v>
      </c>
      <c r="E20" s="269" t="s">
        <v>625</v>
      </c>
      <c r="F20" s="269">
        <v>129045</v>
      </c>
      <c r="G20" s="300">
        <v>129045</v>
      </c>
      <c r="H20" s="269">
        <v>1548</v>
      </c>
      <c r="I20" s="300">
        <v>130593</v>
      </c>
    </row>
    <row r="21" spans="1:9" ht="12.2" customHeight="1" x14ac:dyDescent="0.25">
      <c r="A21" s="182" t="s">
        <v>1710</v>
      </c>
      <c r="B21" s="182" t="s">
        <v>1715</v>
      </c>
      <c r="C21" s="183" t="s">
        <v>711</v>
      </c>
      <c r="D21" s="250" t="s">
        <v>625</v>
      </c>
      <c r="E21" s="282">
        <v>272332</v>
      </c>
      <c r="F21" s="294">
        <v>-2308</v>
      </c>
      <c r="G21" s="295">
        <v>270024</v>
      </c>
      <c r="H21" s="250" t="s">
        <v>625</v>
      </c>
      <c r="I21" s="295">
        <v>270024</v>
      </c>
    </row>
    <row r="22" spans="1:9" ht="12" customHeight="1" x14ac:dyDescent="0.25">
      <c r="A22" s="188" t="s">
        <v>1689</v>
      </c>
      <c r="B22" s="188" t="s">
        <v>1086</v>
      </c>
      <c r="C22" s="290"/>
      <c r="D22" s="249" t="s">
        <v>625</v>
      </c>
      <c r="E22" s="301">
        <v>272332</v>
      </c>
      <c r="F22" s="249">
        <v>126737</v>
      </c>
      <c r="G22" s="249">
        <v>399069</v>
      </c>
      <c r="H22" s="249">
        <v>1548</v>
      </c>
      <c r="I22" s="249">
        <v>400617</v>
      </c>
    </row>
    <row r="23" spans="1:9" ht="12.2" customHeight="1" thickBot="1" x14ac:dyDescent="0.3">
      <c r="A23" s="298"/>
      <c r="B23" s="298"/>
      <c r="C23" s="299"/>
      <c r="D23" s="257"/>
      <c r="E23" s="257"/>
      <c r="F23" s="257"/>
      <c r="G23" s="257"/>
      <c r="H23" s="257"/>
      <c r="I23" s="257"/>
    </row>
    <row r="24" spans="1:9" ht="12.2" customHeight="1" thickBot="1" x14ac:dyDescent="0.3">
      <c r="A24" s="885" t="s">
        <v>800</v>
      </c>
      <c r="B24" s="885" t="s">
        <v>801</v>
      </c>
      <c r="C24" s="886"/>
      <c r="D24" s="784">
        <v>1288715</v>
      </c>
      <c r="E24" s="784">
        <v>937074</v>
      </c>
      <c r="F24" s="784">
        <v>185840</v>
      </c>
      <c r="G24" s="784">
        <v>2411629</v>
      </c>
      <c r="H24" s="784">
        <v>7084</v>
      </c>
      <c r="I24" s="784">
        <v>2418713</v>
      </c>
    </row>
    <row r="25" spans="1:9" ht="12.2" customHeight="1" x14ac:dyDescent="0.25">
      <c r="A25" s="330"/>
      <c r="B25" s="330"/>
      <c r="C25" s="192"/>
      <c r="D25" s="150"/>
      <c r="E25" s="100"/>
      <c r="F25" s="100"/>
      <c r="G25" s="150"/>
      <c r="H25" s="100"/>
      <c r="I25" s="811"/>
    </row>
    <row r="26" spans="1:9" ht="23.25" thickBot="1" x14ac:dyDescent="0.25">
      <c r="A26" s="185" t="s">
        <v>1107</v>
      </c>
      <c r="B26" s="182" t="s">
        <v>1111</v>
      </c>
      <c r="C26" s="186">
        <v>2.29</v>
      </c>
      <c r="D26" s="302" t="s">
        <v>625</v>
      </c>
      <c r="E26" s="283" t="s">
        <v>625</v>
      </c>
      <c r="F26" s="303">
        <v>-10</v>
      </c>
      <c r="G26" s="280">
        <v>-10</v>
      </c>
      <c r="H26" s="283" t="s">
        <v>625</v>
      </c>
      <c r="I26" s="280">
        <v>-10</v>
      </c>
    </row>
    <row r="27" spans="1:9" ht="12.2" customHeight="1" thickBot="1" x14ac:dyDescent="0.3">
      <c r="A27" s="885" t="s">
        <v>1108</v>
      </c>
      <c r="B27" s="885" t="s">
        <v>1112</v>
      </c>
      <c r="C27" s="886"/>
      <c r="D27" s="784">
        <v>1288715</v>
      </c>
      <c r="E27" s="784">
        <v>937074</v>
      </c>
      <c r="F27" s="784">
        <v>185830</v>
      </c>
      <c r="G27" s="784">
        <v>2411619</v>
      </c>
      <c r="H27" s="784">
        <v>7084</v>
      </c>
      <c r="I27" s="784">
        <v>2418703</v>
      </c>
    </row>
    <row r="28" spans="1:9" ht="12.2" customHeight="1" x14ac:dyDescent="0.25">
      <c r="A28" s="330"/>
      <c r="B28" s="330"/>
      <c r="C28" s="192"/>
      <c r="D28" s="150"/>
      <c r="E28" s="100"/>
      <c r="F28" s="100"/>
      <c r="G28" s="150"/>
      <c r="H28" s="100"/>
      <c r="I28" s="811"/>
    </row>
    <row r="29" spans="1:9" ht="12.2" customHeight="1" x14ac:dyDescent="0.25">
      <c r="A29" s="179" t="s">
        <v>952</v>
      </c>
      <c r="B29" s="179" t="s">
        <v>953</v>
      </c>
      <c r="C29" s="227" t="s">
        <v>710</v>
      </c>
      <c r="D29" s="269" t="s">
        <v>625</v>
      </c>
      <c r="E29" s="269" t="s">
        <v>625</v>
      </c>
      <c r="F29" s="708">
        <v>-90142</v>
      </c>
      <c r="G29" s="709">
        <v>-90142</v>
      </c>
      <c r="H29" s="708">
        <v>-1393</v>
      </c>
      <c r="I29" s="709">
        <v>-91535</v>
      </c>
    </row>
    <row r="30" spans="1:9" ht="22.5" x14ac:dyDescent="0.2">
      <c r="A30" s="1174" t="s">
        <v>853</v>
      </c>
      <c r="B30" s="1174" t="s">
        <v>1714</v>
      </c>
      <c r="C30" s="1182" t="s">
        <v>711</v>
      </c>
      <c r="D30" s="1183" t="s">
        <v>625</v>
      </c>
      <c r="E30" s="1151">
        <v>-4377</v>
      </c>
      <c r="F30" s="1151">
        <v>4377</v>
      </c>
      <c r="G30" s="1179" t="s">
        <v>625</v>
      </c>
      <c r="H30" s="1151" t="s">
        <v>625</v>
      </c>
      <c r="I30" s="1179" t="s">
        <v>625</v>
      </c>
    </row>
    <row r="31" spans="1:9" ht="22.5" x14ac:dyDescent="0.2">
      <c r="A31" s="1184" t="s">
        <v>1709</v>
      </c>
      <c r="B31" s="1185" t="s">
        <v>951</v>
      </c>
      <c r="C31" s="1186"/>
      <c r="D31" s="1187" t="s">
        <v>625</v>
      </c>
      <c r="E31" s="1188">
        <v>-4377</v>
      </c>
      <c r="F31" s="1188">
        <v>-85765</v>
      </c>
      <c r="G31" s="1188">
        <v>-90142</v>
      </c>
      <c r="H31" s="1188">
        <v>-1393</v>
      </c>
      <c r="I31" s="1188">
        <v>-91535</v>
      </c>
    </row>
    <row r="32" spans="1:9" ht="12.2" customHeight="1" x14ac:dyDescent="0.25">
      <c r="A32" s="1165"/>
      <c r="B32" s="1165"/>
      <c r="C32" s="1189"/>
      <c r="D32" s="115"/>
      <c r="E32" s="115"/>
      <c r="F32" s="115"/>
      <c r="G32" s="115"/>
      <c r="H32" s="115"/>
      <c r="I32" s="1190"/>
    </row>
    <row r="33" spans="1:9" ht="12.2" customHeight="1" x14ac:dyDescent="0.25">
      <c r="A33" s="1191" t="s">
        <v>11</v>
      </c>
      <c r="B33" s="1191" t="s">
        <v>202</v>
      </c>
      <c r="C33" s="1169"/>
      <c r="D33" s="1192" t="s">
        <v>625</v>
      </c>
      <c r="E33" s="1192" t="s">
        <v>625</v>
      </c>
      <c r="F33" s="1192">
        <v>319670</v>
      </c>
      <c r="G33" s="1193">
        <v>319670</v>
      </c>
      <c r="H33" s="1192">
        <v>2351</v>
      </c>
      <c r="I33" s="1193">
        <v>322021</v>
      </c>
    </row>
    <row r="34" spans="1:9" ht="12.2" customHeight="1" x14ac:dyDescent="0.25">
      <c r="A34" s="1174" t="s">
        <v>1711</v>
      </c>
      <c r="B34" s="1174" t="s">
        <v>1114</v>
      </c>
      <c r="C34" s="1194" t="s">
        <v>1511</v>
      </c>
      <c r="D34" s="114" t="s">
        <v>625</v>
      </c>
      <c r="E34" s="653">
        <v>193824</v>
      </c>
      <c r="F34" s="1158">
        <v>3878</v>
      </c>
      <c r="G34" s="1150">
        <v>197702</v>
      </c>
      <c r="H34" s="114" t="s">
        <v>625</v>
      </c>
      <c r="I34" s="1150">
        <v>197702</v>
      </c>
    </row>
    <row r="35" spans="1:9" ht="12.2" customHeight="1" x14ac:dyDescent="0.25">
      <c r="A35" s="1185" t="s">
        <v>1689</v>
      </c>
      <c r="B35" s="1185" t="s">
        <v>1086</v>
      </c>
      <c r="C35" s="1186"/>
      <c r="D35" s="1195" t="s">
        <v>625</v>
      </c>
      <c r="E35" s="1181">
        <v>193824</v>
      </c>
      <c r="F35" s="1181">
        <v>323548</v>
      </c>
      <c r="G35" s="1195">
        <v>517372</v>
      </c>
      <c r="H35" s="1195">
        <v>2351</v>
      </c>
      <c r="I35" s="1195">
        <v>519723</v>
      </c>
    </row>
    <row r="36" spans="1:9" ht="12.2" customHeight="1" thickBot="1" x14ac:dyDescent="0.3">
      <c r="A36" s="298"/>
      <c r="B36" s="298"/>
      <c r="C36" s="299"/>
      <c r="D36" s="257"/>
      <c r="E36" s="257"/>
      <c r="F36" s="257"/>
      <c r="G36" s="257"/>
      <c r="H36" s="257"/>
      <c r="I36" s="257"/>
    </row>
    <row r="37" spans="1:9" ht="12.2" customHeight="1" thickBot="1" x14ac:dyDescent="0.3">
      <c r="A37" s="885" t="s">
        <v>955</v>
      </c>
      <c r="B37" s="885" t="s">
        <v>956</v>
      </c>
      <c r="C37" s="886"/>
      <c r="D37" s="784">
        <v>1288715</v>
      </c>
      <c r="E37" s="784">
        <v>1126521</v>
      </c>
      <c r="F37" s="784">
        <v>423613</v>
      </c>
      <c r="G37" s="784">
        <v>2838849</v>
      </c>
      <c r="H37" s="784">
        <v>8042</v>
      </c>
      <c r="I37" s="784">
        <v>2846891</v>
      </c>
    </row>
    <row r="38" spans="1:9" ht="12.2" customHeight="1" x14ac:dyDescent="0.25">
      <c r="A38" s="330"/>
      <c r="B38" s="330"/>
      <c r="C38" s="331"/>
      <c r="D38" s="97"/>
      <c r="E38" s="97"/>
      <c r="F38" s="97"/>
      <c r="G38" s="97"/>
      <c r="H38" s="97"/>
      <c r="I38" s="97"/>
    </row>
    <row r="39" spans="1:9" ht="12.2" customHeight="1" x14ac:dyDescent="0.25">
      <c r="A39" s="330"/>
      <c r="B39" s="330"/>
      <c r="C39" s="331"/>
      <c r="D39" s="97"/>
      <c r="E39" s="97"/>
      <c r="F39" s="97"/>
      <c r="G39" s="97"/>
      <c r="H39" s="97"/>
      <c r="I39" s="97"/>
    </row>
    <row r="40" spans="1:9" ht="12.2" customHeight="1" x14ac:dyDescent="0.25">
      <c r="A40" s="330"/>
      <c r="B40" s="330"/>
      <c r="C40" s="331"/>
      <c r="D40" s="97"/>
      <c r="E40" s="97"/>
      <c r="F40" s="97"/>
      <c r="G40" s="97"/>
      <c r="H40" s="97"/>
      <c r="I40" s="97"/>
    </row>
    <row r="41" spans="1:9" x14ac:dyDescent="0.25">
      <c r="A41" s="252"/>
      <c r="B41" s="252"/>
      <c r="C41" s="252"/>
      <c r="D41" s="1114"/>
      <c r="E41" s="1114"/>
      <c r="F41" s="1114"/>
      <c r="G41" s="1114"/>
      <c r="H41" s="1114"/>
      <c r="I41" s="1114"/>
    </row>
    <row r="42" spans="1:9" x14ac:dyDescent="0.25">
      <c r="A42" s="252"/>
      <c r="B42" s="252"/>
      <c r="C42" s="252"/>
      <c r="D42" s="304"/>
      <c r="E42" s="252"/>
      <c r="F42" s="252"/>
      <c r="G42" s="252"/>
      <c r="H42" s="305"/>
      <c r="I42" s="252"/>
    </row>
    <row r="43" spans="1:9" x14ac:dyDescent="0.25">
      <c r="A43" s="252"/>
      <c r="B43" s="252"/>
      <c r="C43" s="252"/>
      <c r="D43" s="304"/>
      <c r="E43" s="252"/>
      <c r="F43" s="252"/>
      <c r="G43" s="252"/>
      <c r="H43" s="252"/>
      <c r="I43" s="252"/>
    </row>
    <row r="44" spans="1:9" ht="21" thickBot="1" x14ac:dyDescent="0.3">
      <c r="A44" s="277" t="s">
        <v>1674</v>
      </c>
      <c r="B44" s="306"/>
      <c r="C44" s="306"/>
      <c r="D44" s="307"/>
      <c r="E44" s="307"/>
      <c r="F44" s="308"/>
      <c r="G44" s="711" t="str">
        <f>I6</f>
        <v>EUR'000</v>
      </c>
      <c r="H44" s="252"/>
      <c r="I44" s="252"/>
    </row>
    <row r="45" spans="1:9" ht="23.25" customHeight="1" thickTop="1" x14ac:dyDescent="0.25">
      <c r="A45" s="1478"/>
      <c r="B45" s="287"/>
      <c r="C45" s="1475" t="s">
        <v>453</v>
      </c>
      <c r="D45" s="1474" t="s">
        <v>1707</v>
      </c>
      <c r="E45" s="1474"/>
      <c r="F45" s="1474"/>
      <c r="G45" s="1479" t="s">
        <v>50</v>
      </c>
      <c r="H45" s="252"/>
      <c r="I45" s="252"/>
    </row>
    <row r="46" spans="1:9" ht="24.75" thickBot="1" x14ac:dyDescent="0.3">
      <c r="A46" s="1472"/>
      <c r="B46" s="309"/>
      <c r="C46" s="1477"/>
      <c r="D46" s="1462" t="s">
        <v>30</v>
      </c>
      <c r="E46" s="1462" t="s">
        <v>47</v>
      </c>
      <c r="F46" s="1462" t="s">
        <v>33</v>
      </c>
      <c r="G46" s="1480"/>
      <c r="H46" s="252"/>
      <c r="I46" s="252"/>
    </row>
    <row r="47" spans="1:9" ht="24.75" customHeight="1" thickTop="1" x14ac:dyDescent="0.25">
      <c r="A47" s="1472"/>
      <c r="B47" s="309"/>
      <c r="C47" s="1477"/>
      <c r="D47" s="1474" t="s">
        <v>839</v>
      </c>
      <c r="E47" s="1474"/>
      <c r="F47" s="1474"/>
      <c r="G47" s="1475" t="s">
        <v>277</v>
      </c>
      <c r="H47" s="252"/>
      <c r="I47" s="252"/>
    </row>
    <row r="48" spans="1:9" ht="24" x14ac:dyDescent="0.25">
      <c r="A48" s="1473"/>
      <c r="B48" s="310"/>
      <c r="C48" s="1476"/>
      <c r="D48" s="1462" t="s">
        <v>217</v>
      </c>
      <c r="E48" s="1462" t="s">
        <v>275</v>
      </c>
      <c r="F48" s="1462" t="s">
        <v>220</v>
      </c>
      <c r="G48" s="1476"/>
      <c r="H48" s="252"/>
      <c r="I48" s="252"/>
    </row>
    <row r="49" spans="1:9" x14ac:dyDescent="0.25">
      <c r="A49" s="311"/>
      <c r="B49" s="311"/>
      <c r="C49" s="311"/>
      <c r="D49" s="99"/>
      <c r="E49" s="99"/>
      <c r="F49" s="99"/>
      <c r="G49" s="105"/>
      <c r="H49" s="252"/>
      <c r="I49" s="252"/>
    </row>
    <row r="50" spans="1:9" x14ac:dyDescent="0.25">
      <c r="A50" s="312"/>
      <c r="B50" s="312"/>
      <c r="C50" s="312"/>
      <c r="D50" s="312"/>
      <c r="E50" s="312"/>
      <c r="F50" s="312"/>
      <c r="G50" s="312"/>
      <c r="H50" s="252"/>
      <c r="I50" s="252"/>
    </row>
    <row r="51" spans="1:9" x14ac:dyDescent="0.2">
      <c r="A51" s="890" t="s">
        <v>732</v>
      </c>
      <c r="B51" s="891" t="s">
        <v>799</v>
      </c>
      <c r="C51" s="891"/>
      <c r="D51" s="882">
        <v>1288531</v>
      </c>
      <c r="E51" s="882">
        <v>649779</v>
      </c>
      <c r="F51" s="882">
        <v>176590</v>
      </c>
      <c r="G51" s="882">
        <v>2114900</v>
      </c>
      <c r="H51" s="252"/>
      <c r="I51" s="252"/>
    </row>
    <row r="52" spans="1:9" x14ac:dyDescent="0.25">
      <c r="A52" s="253"/>
      <c r="B52" s="253"/>
      <c r="C52" s="253"/>
      <c r="D52" s="278"/>
      <c r="E52" s="313"/>
      <c r="F52" s="313"/>
      <c r="G52" s="887"/>
      <c r="H52" s="252"/>
      <c r="I52" s="252"/>
    </row>
    <row r="53" spans="1:9" ht="12" customHeight="1" x14ac:dyDescent="0.25">
      <c r="A53" s="179" t="s">
        <v>403</v>
      </c>
      <c r="B53" s="179" t="s">
        <v>404</v>
      </c>
      <c r="C53" s="1169" t="s">
        <v>817</v>
      </c>
      <c r="D53" s="179">
        <v>184</v>
      </c>
      <c r="E53" s="605" t="s">
        <v>572</v>
      </c>
      <c r="F53" s="605" t="s">
        <v>572</v>
      </c>
      <c r="G53" s="179">
        <v>184</v>
      </c>
      <c r="H53" s="252"/>
      <c r="I53" s="252"/>
    </row>
    <row r="54" spans="1:9" ht="12" customHeight="1" x14ac:dyDescent="0.25">
      <c r="A54" s="182" t="s">
        <v>802</v>
      </c>
      <c r="B54" s="182" t="s">
        <v>803</v>
      </c>
      <c r="C54" s="1170" t="s">
        <v>710</v>
      </c>
      <c r="D54" s="279" t="s">
        <v>572</v>
      </c>
      <c r="E54" s="314" t="s">
        <v>572</v>
      </c>
      <c r="F54" s="314">
        <v>-77413</v>
      </c>
      <c r="G54" s="888">
        <v>-77413</v>
      </c>
      <c r="H54" s="252"/>
      <c r="I54" s="252"/>
    </row>
    <row r="55" spans="1:9" ht="22.5" customHeight="1" x14ac:dyDescent="0.2">
      <c r="A55" s="182" t="s">
        <v>853</v>
      </c>
      <c r="B55" s="182" t="s">
        <v>1714</v>
      </c>
      <c r="C55" s="1160" t="s">
        <v>711</v>
      </c>
      <c r="D55" s="712" t="s">
        <v>572</v>
      </c>
      <c r="E55" s="713">
        <v>-2606</v>
      </c>
      <c r="F55" s="713">
        <v>2606</v>
      </c>
      <c r="G55" s="889" t="s">
        <v>572</v>
      </c>
      <c r="H55" s="252"/>
      <c r="I55" s="252"/>
    </row>
    <row r="56" spans="1:9" ht="22.5" x14ac:dyDescent="0.2">
      <c r="A56" s="251" t="s">
        <v>1712</v>
      </c>
      <c r="B56" s="244" t="s">
        <v>951</v>
      </c>
      <c r="C56" s="244"/>
      <c r="D56" s="315">
        <v>184</v>
      </c>
      <c r="E56" s="315">
        <v>-2606</v>
      </c>
      <c r="F56" s="315">
        <v>-74807</v>
      </c>
      <c r="G56" s="315">
        <v>-77229</v>
      </c>
      <c r="H56" s="252"/>
      <c r="I56" s="252"/>
    </row>
    <row r="57" spans="1:9" x14ac:dyDescent="0.2">
      <c r="A57" s="316"/>
      <c r="B57" s="316"/>
      <c r="C57" s="316"/>
      <c r="D57" s="281"/>
      <c r="E57" s="317"/>
      <c r="F57" s="317"/>
      <c r="G57" s="317"/>
      <c r="H57" s="252"/>
      <c r="I57" s="252"/>
    </row>
    <row r="58" spans="1:9" ht="12" customHeight="1" x14ac:dyDescent="0.2">
      <c r="A58" s="318" t="s">
        <v>11</v>
      </c>
      <c r="B58" s="312" t="s">
        <v>202</v>
      </c>
      <c r="C58" s="312"/>
      <c r="D58" s="279" t="s">
        <v>572</v>
      </c>
      <c r="E58" s="279" t="s">
        <v>572</v>
      </c>
      <c r="F58" s="314">
        <v>137441</v>
      </c>
      <c r="G58" s="888">
        <v>137441</v>
      </c>
      <c r="H58" s="252"/>
      <c r="I58" s="252"/>
    </row>
    <row r="59" spans="1:9" ht="12" customHeight="1" x14ac:dyDescent="0.2">
      <c r="A59" s="319" t="s">
        <v>1710</v>
      </c>
      <c r="B59" s="248" t="s">
        <v>1715</v>
      </c>
      <c r="C59" s="1171" t="s">
        <v>711</v>
      </c>
      <c r="D59" s="282" t="s">
        <v>572</v>
      </c>
      <c r="E59" s="282">
        <v>2847</v>
      </c>
      <c r="F59" s="282">
        <v>-890</v>
      </c>
      <c r="G59" s="320">
        <v>1957</v>
      </c>
      <c r="H59" s="252"/>
      <c r="I59" s="252"/>
    </row>
    <row r="60" spans="1:9" x14ac:dyDescent="0.2">
      <c r="A60" s="321" t="s">
        <v>1713</v>
      </c>
      <c r="B60" s="321" t="s">
        <v>1115</v>
      </c>
      <c r="C60" s="251"/>
      <c r="D60" s="280" t="s">
        <v>572</v>
      </c>
      <c r="E60" s="280">
        <v>2847</v>
      </c>
      <c r="F60" s="280">
        <v>136551</v>
      </c>
      <c r="G60" s="280">
        <v>139398</v>
      </c>
      <c r="H60" s="252"/>
      <c r="I60" s="252"/>
    </row>
    <row r="61" spans="1:9" ht="15.75" thickBot="1" x14ac:dyDescent="0.3">
      <c r="A61" s="892" t="s">
        <v>800</v>
      </c>
      <c r="B61" s="892" t="s">
        <v>801</v>
      </c>
      <c r="C61" s="893"/>
      <c r="D61" s="894">
        <v>1288715</v>
      </c>
      <c r="E61" s="894">
        <v>650020</v>
      </c>
      <c r="F61" s="894">
        <v>238334</v>
      </c>
      <c r="G61" s="894">
        <v>2177069</v>
      </c>
      <c r="H61" s="252"/>
      <c r="I61" s="252"/>
    </row>
    <row r="62" spans="1:9" ht="15.75" thickTop="1" x14ac:dyDescent="0.25">
      <c r="A62" s="312"/>
      <c r="B62" s="312"/>
      <c r="C62" s="312"/>
      <c r="D62" s="312"/>
      <c r="E62" s="312"/>
      <c r="F62" s="312"/>
      <c r="G62" s="312"/>
      <c r="H62" s="252"/>
      <c r="I62" s="252"/>
    </row>
    <row r="63" spans="1:9" ht="12.75" customHeight="1" x14ac:dyDescent="0.25">
      <c r="A63" s="1101" t="s">
        <v>952</v>
      </c>
      <c r="B63" s="1101" t="s">
        <v>953</v>
      </c>
      <c r="C63" s="1170" t="s">
        <v>710</v>
      </c>
      <c r="D63" s="1172" t="s">
        <v>572</v>
      </c>
      <c r="E63" s="1172" t="s">
        <v>572</v>
      </c>
      <c r="F63" s="1172">
        <v>-90142</v>
      </c>
      <c r="G63" s="1173">
        <v>-90142</v>
      </c>
      <c r="H63" s="252"/>
      <c r="I63" s="252"/>
    </row>
    <row r="64" spans="1:9" ht="22.5" x14ac:dyDescent="0.2">
      <c r="A64" s="1174" t="s">
        <v>853</v>
      </c>
      <c r="B64" s="1174" t="s">
        <v>1714</v>
      </c>
      <c r="C64" s="1157" t="s">
        <v>711</v>
      </c>
      <c r="D64" s="1151" t="s">
        <v>572</v>
      </c>
      <c r="E64" s="1175">
        <v>-1762</v>
      </c>
      <c r="F64" s="1175">
        <v>1762</v>
      </c>
      <c r="G64" s="1176" t="s">
        <v>572</v>
      </c>
      <c r="H64" s="252"/>
      <c r="I64" s="252"/>
    </row>
    <row r="65" spans="1:9" ht="22.5" x14ac:dyDescent="0.2">
      <c r="A65" s="1177" t="s">
        <v>1712</v>
      </c>
      <c r="B65" s="1178" t="s">
        <v>951</v>
      </c>
      <c r="C65" s="1178"/>
      <c r="D65" s="1179" t="s">
        <v>572</v>
      </c>
      <c r="E65" s="1176">
        <v>-1762</v>
      </c>
      <c r="F65" s="1176">
        <v>-88380</v>
      </c>
      <c r="G65" s="1176">
        <v>-90142</v>
      </c>
      <c r="H65" s="252"/>
      <c r="I65" s="252"/>
    </row>
    <row r="66" spans="1:9" x14ac:dyDescent="0.25">
      <c r="A66" s="316"/>
      <c r="B66" s="316"/>
      <c r="C66" s="316"/>
      <c r="D66" s="284"/>
      <c r="E66" s="323"/>
      <c r="F66" s="323"/>
      <c r="G66" s="323"/>
      <c r="H66" s="252"/>
      <c r="I66" s="252"/>
    </row>
    <row r="67" spans="1:9" ht="12" customHeight="1" x14ac:dyDescent="0.25">
      <c r="A67" s="178" t="s">
        <v>11</v>
      </c>
      <c r="B67" s="178" t="s">
        <v>202</v>
      </c>
      <c r="C67" s="178"/>
      <c r="D67" s="279" t="s">
        <v>572</v>
      </c>
      <c r="E67" s="314" t="s">
        <v>572</v>
      </c>
      <c r="F67" s="314">
        <v>150891</v>
      </c>
      <c r="G67" s="888">
        <v>150891</v>
      </c>
      <c r="H67" s="252"/>
      <c r="I67" s="252"/>
    </row>
    <row r="68" spans="1:9" ht="12" customHeight="1" x14ac:dyDescent="0.25">
      <c r="A68" s="248" t="s">
        <v>1711</v>
      </c>
      <c r="B68" s="248" t="s">
        <v>1716</v>
      </c>
      <c r="C68" s="1171" t="s">
        <v>1511</v>
      </c>
      <c r="D68" s="653" t="s">
        <v>572</v>
      </c>
      <c r="E68" s="1159">
        <v>143648</v>
      </c>
      <c r="F68" s="1159">
        <v>1172</v>
      </c>
      <c r="G68" s="1180">
        <v>144820</v>
      </c>
      <c r="H68" s="252"/>
      <c r="I68" s="252"/>
    </row>
    <row r="69" spans="1:9" ht="12" customHeight="1" x14ac:dyDescent="0.25">
      <c r="A69" s="700" t="s">
        <v>1713</v>
      </c>
      <c r="B69" s="700" t="s">
        <v>1115</v>
      </c>
      <c r="C69" s="1178"/>
      <c r="D69" s="1181" t="s">
        <v>572</v>
      </c>
      <c r="E69" s="1181">
        <v>143648</v>
      </c>
      <c r="F69" s="1181">
        <v>152063</v>
      </c>
      <c r="G69" s="1181">
        <v>295711</v>
      </c>
      <c r="H69" s="252"/>
      <c r="I69" s="252"/>
    </row>
    <row r="70" spans="1:9" ht="15.75" thickBot="1" x14ac:dyDescent="0.3">
      <c r="A70" s="892" t="s">
        <v>955</v>
      </c>
      <c r="B70" s="892" t="s">
        <v>956</v>
      </c>
      <c r="C70" s="893"/>
      <c r="D70" s="894">
        <v>1288715</v>
      </c>
      <c r="E70" s="894">
        <v>791906</v>
      </c>
      <c r="F70" s="894">
        <v>302017</v>
      </c>
      <c r="G70" s="894">
        <v>2382638</v>
      </c>
      <c r="H70" s="252"/>
      <c r="I70" s="252"/>
    </row>
    <row r="71" spans="1:9" ht="15.75" thickTop="1" x14ac:dyDescent="0.25"/>
    <row r="73" spans="1:9" x14ac:dyDescent="0.25">
      <c r="D73" s="1115"/>
      <c r="E73" s="1115"/>
      <c r="F73" s="1115"/>
      <c r="G73" s="1115"/>
    </row>
  </sheetData>
  <sheetProtection algorithmName="SHA-512" hashValue="vHGF6eXOVy3iJ8bDdQjdQG0lZmM4/CngE6QX+OEedeOl23fkILF9aI5sczEN/WJjxmOM+ZVqatf3D4BInPyhJw==" saltValue="UKD/H49o4CSQdh767SWwIQ==" spinCount="100000" sheet="1" objects="1" scenarios="1"/>
  <mergeCells count="18">
    <mergeCell ref="A7:A8"/>
    <mergeCell ref="B9:B10"/>
    <mergeCell ref="D7:G7"/>
    <mergeCell ref="D9:G9"/>
    <mergeCell ref="I9:I10"/>
    <mergeCell ref="I7:I8"/>
    <mergeCell ref="H7:H8"/>
    <mergeCell ref="H9:H10"/>
    <mergeCell ref="C7:C8"/>
    <mergeCell ref="C9:C10"/>
    <mergeCell ref="A47:A48"/>
    <mergeCell ref="D47:F47"/>
    <mergeCell ref="G47:G48"/>
    <mergeCell ref="C45:C48"/>
    <mergeCell ref="A9:A10"/>
    <mergeCell ref="A45:A46"/>
    <mergeCell ref="D45:F45"/>
    <mergeCell ref="G45:G46"/>
  </mergeCells>
  <pageMargins left="0" right="0" top="0.78740157480314965" bottom="0.39370078740157483" header="0.31496062992125984" footer="0.31496062992125984"/>
  <pageSetup paperSize="9" scale="80"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workbookViewId="0">
      <pane ySplit="5" topLeftCell="A6" activePane="bottomLeft" state="frozen"/>
      <selection pane="bottomLeft"/>
    </sheetView>
  </sheetViews>
  <sheetFormatPr defaultColWidth="9.140625" defaultRowHeight="15" outlineLevelCol="1" x14ac:dyDescent="0.25"/>
  <cols>
    <col min="1" max="1" width="42.5703125" style="28" customWidth="1"/>
    <col min="2" max="2" width="34.42578125" style="28" customWidth="1" outlineLevel="1"/>
    <col min="3" max="3" width="9.140625" style="28"/>
    <col min="4" max="5" width="11" style="28" customWidth="1"/>
    <col min="6" max="6" width="3.140625" style="28" customWidth="1"/>
    <col min="7" max="8" width="15.85546875" style="28" customWidth="1"/>
    <col min="9" max="16384" width="9.140625" style="28"/>
  </cols>
  <sheetData>
    <row r="1" spans="1:8" x14ac:dyDescent="0.25">
      <c r="A1" s="27" t="s">
        <v>1727</v>
      </c>
      <c r="B1" s="27" t="s">
        <v>1728</v>
      </c>
    </row>
    <row r="2" spans="1:8" ht="18.75" x14ac:dyDescent="0.25">
      <c r="A2" s="27" t="s">
        <v>970</v>
      </c>
      <c r="B2" s="27" t="s">
        <v>969</v>
      </c>
      <c r="C2" s="48"/>
    </row>
    <row r="3" spans="1:8" ht="18.75" thickBot="1" x14ac:dyDescent="0.25">
      <c r="A3" s="1" t="s">
        <v>1134</v>
      </c>
      <c r="B3" s="1" t="s">
        <v>1135</v>
      </c>
      <c r="H3" s="1441" t="s">
        <v>51</v>
      </c>
    </row>
    <row r="4" spans="1:8" s="25" customFormat="1" ht="22.9" customHeight="1" x14ac:dyDescent="0.25">
      <c r="A4" s="1481"/>
      <c r="B4" s="1481"/>
      <c r="C4" s="1470" t="s">
        <v>453</v>
      </c>
      <c r="D4" s="1467" t="s">
        <v>949</v>
      </c>
      <c r="E4" s="1467"/>
      <c r="F4" s="71"/>
      <c r="G4" s="1467" t="s">
        <v>1403</v>
      </c>
      <c r="H4" s="1467"/>
    </row>
    <row r="5" spans="1:8" s="23" customFormat="1" ht="15.75" thickBot="1" x14ac:dyDescent="0.3">
      <c r="A5" s="1487"/>
      <c r="B5" s="1487"/>
      <c r="C5" s="1488"/>
      <c r="D5" s="1219">
        <v>2017</v>
      </c>
      <c r="E5" s="1220">
        <v>2016</v>
      </c>
      <c r="F5" s="1412"/>
      <c r="G5" s="1219">
        <v>2017</v>
      </c>
      <c r="H5" s="1220">
        <v>2016</v>
      </c>
    </row>
    <row r="6" spans="1:8" ht="12.2" customHeight="1" x14ac:dyDescent="0.25">
      <c r="A6" s="113"/>
      <c r="B6" s="113"/>
      <c r="C6" s="113"/>
      <c r="D6" s="895"/>
      <c r="E6" s="113"/>
      <c r="G6" s="895"/>
      <c r="H6" s="113"/>
    </row>
    <row r="7" spans="1:8" x14ac:dyDescent="0.25">
      <c r="A7" s="1442" t="s">
        <v>454</v>
      </c>
      <c r="B7" s="1442" t="s">
        <v>231</v>
      </c>
      <c r="C7" s="113"/>
      <c r="D7" s="895"/>
      <c r="E7" s="113"/>
      <c r="G7" s="895"/>
      <c r="H7" s="113"/>
    </row>
    <row r="8" spans="1:8" x14ac:dyDescent="0.25">
      <c r="A8" s="179" t="s">
        <v>102</v>
      </c>
      <c r="B8" s="179" t="s">
        <v>232</v>
      </c>
      <c r="C8" s="344"/>
      <c r="D8" s="786">
        <v>224114</v>
      </c>
      <c r="E8" s="345">
        <v>148945</v>
      </c>
      <c r="F8" s="98"/>
      <c r="G8" s="786">
        <v>185906</v>
      </c>
      <c r="H8" s="345">
        <v>156290</v>
      </c>
    </row>
    <row r="9" spans="1:8" x14ac:dyDescent="0.25">
      <c r="A9" s="298" t="s">
        <v>455</v>
      </c>
      <c r="B9" s="298" t="s">
        <v>776</v>
      </c>
      <c r="C9" s="336"/>
      <c r="D9" s="1443"/>
      <c r="E9" s="1444"/>
      <c r="F9" s="252"/>
      <c r="G9" s="1443"/>
      <c r="H9" s="1444"/>
    </row>
    <row r="10" spans="1:8" ht="33.75" x14ac:dyDescent="0.2">
      <c r="A10" s="179" t="s">
        <v>774</v>
      </c>
      <c r="B10" s="179" t="s">
        <v>775</v>
      </c>
      <c r="C10" s="241" t="s">
        <v>702</v>
      </c>
      <c r="D10" s="1321">
        <v>307614</v>
      </c>
      <c r="E10" s="545">
        <v>232626</v>
      </c>
      <c r="F10" s="98"/>
      <c r="G10" s="1321">
        <v>209684</v>
      </c>
      <c r="H10" s="545">
        <v>100535</v>
      </c>
    </row>
    <row r="11" spans="1:8" x14ac:dyDescent="0.25">
      <c r="A11" s="182" t="s">
        <v>696</v>
      </c>
      <c r="B11" s="182" t="s">
        <v>699</v>
      </c>
      <c r="C11" s="183"/>
      <c r="D11" s="780">
        <v>5476</v>
      </c>
      <c r="E11" s="190">
        <v>4143</v>
      </c>
      <c r="F11" s="252"/>
      <c r="G11" s="780">
        <v>1602</v>
      </c>
      <c r="H11" s="190">
        <v>395</v>
      </c>
    </row>
    <row r="12" spans="1:8" x14ac:dyDescent="0.25">
      <c r="A12" s="182" t="s">
        <v>697</v>
      </c>
      <c r="B12" s="182" t="s">
        <v>700</v>
      </c>
      <c r="C12" s="183" t="s">
        <v>682</v>
      </c>
      <c r="D12" s="780">
        <v>9825</v>
      </c>
      <c r="E12" s="190">
        <v>14156</v>
      </c>
      <c r="F12" s="252"/>
      <c r="G12" s="780">
        <v>10667</v>
      </c>
      <c r="H12" s="190">
        <v>14772</v>
      </c>
    </row>
    <row r="13" spans="1:8" x14ac:dyDescent="0.25">
      <c r="A13" s="182" t="s">
        <v>698</v>
      </c>
      <c r="B13" s="182" t="s">
        <v>701</v>
      </c>
      <c r="C13" s="334" t="s">
        <v>683</v>
      </c>
      <c r="D13" s="839">
        <v>-1221</v>
      </c>
      <c r="E13" s="184">
        <v>-2302</v>
      </c>
      <c r="F13" s="252"/>
      <c r="G13" s="839">
        <v>-11410</v>
      </c>
      <c r="H13" s="184">
        <v>-12931</v>
      </c>
    </row>
    <row r="14" spans="1:8" ht="22.5" x14ac:dyDescent="0.25">
      <c r="A14" s="182" t="s">
        <v>1700</v>
      </c>
      <c r="B14" s="182" t="s">
        <v>1116</v>
      </c>
      <c r="C14" s="183" t="s">
        <v>52</v>
      </c>
      <c r="D14" s="839">
        <v>3435</v>
      </c>
      <c r="E14" s="184">
        <v>-7275</v>
      </c>
      <c r="F14" s="252"/>
      <c r="G14" s="839">
        <v>3434</v>
      </c>
      <c r="H14" s="184">
        <v>-7275</v>
      </c>
    </row>
    <row r="15" spans="1:8" ht="15.75" customHeight="1" x14ac:dyDescent="0.25">
      <c r="A15" s="182" t="s">
        <v>1127</v>
      </c>
      <c r="B15" s="182" t="s">
        <v>1128</v>
      </c>
      <c r="C15" s="183" t="s">
        <v>1447</v>
      </c>
      <c r="D15" s="839" t="s">
        <v>625</v>
      </c>
      <c r="E15" s="184" t="s">
        <v>625</v>
      </c>
      <c r="F15" s="252"/>
      <c r="G15" s="839">
        <v>-9111</v>
      </c>
      <c r="H15" s="184">
        <v>-17033</v>
      </c>
    </row>
    <row r="16" spans="1:8" x14ac:dyDescent="0.25">
      <c r="A16" s="182" t="s">
        <v>1117</v>
      </c>
      <c r="B16" s="182" t="s">
        <v>1118</v>
      </c>
      <c r="C16" s="183">
        <v>22</v>
      </c>
      <c r="D16" s="839">
        <v>6726</v>
      </c>
      <c r="E16" s="184">
        <v>-287</v>
      </c>
      <c r="F16" s="252"/>
      <c r="G16" s="839">
        <v>1966</v>
      </c>
      <c r="H16" s="184">
        <v>272</v>
      </c>
    </row>
    <row r="17" spans="1:8" ht="23.25" thickBot="1" x14ac:dyDescent="0.3">
      <c r="A17" s="199" t="s">
        <v>1119</v>
      </c>
      <c r="B17" s="199" t="s">
        <v>1120</v>
      </c>
      <c r="C17" s="200" t="s">
        <v>682</v>
      </c>
      <c r="D17" s="868">
        <v>-22</v>
      </c>
      <c r="E17" s="219">
        <v>-26</v>
      </c>
      <c r="F17" s="1447"/>
      <c r="G17" s="868">
        <v>-22</v>
      </c>
      <c r="H17" s="219">
        <v>-26</v>
      </c>
    </row>
    <row r="18" spans="1:8" ht="22.5" x14ac:dyDescent="0.25">
      <c r="A18" s="202" t="s">
        <v>456</v>
      </c>
      <c r="B18" s="202" t="s">
        <v>703</v>
      </c>
      <c r="C18" s="339"/>
      <c r="D18" s="1456">
        <f>SUM(D8,D10:D17)</f>
        <v>555947</v>
      </c>
      <c r="E18" s="1457">
        <f>SUM(E8,E10:E17)</f>
        <v>389980</v>
      </c>
      <c r="F18" s="1447"/>
      <c r="G18" s="1456">
        <f>SUM(G8,G10:G17)</f>
        <v>392716</v>
      </c>
      <c r="H18" s="1457">
        <f>SUM(H8,H10:H17)</f>
        <v>234999</v>
      </c>
    </row>
    <row r="19" spans="1:8" x14ac:dyDescent="0.25">
      <c r="A19" s="182" t="s">
        <v>860</v>
      </c>
      <c r="B19" s="182" t="s">
        <v>858</v>
      </c>
      <c r="C19" s="332"/>
      <c r="D19" s="839">
        <v>-34870</v>
      </c>
      <c r="E19" s="184">
        <v>-16667</v>
      </c>
      <c r="F19" s="252"/>
      <c r="G19" s="839">
        <v>-36013</v>
      </c>
      <c r="H19" s="184">
        <v>-17423</v>
      </c>
    </row>
    <row r="20" spans="1:8" ht="22.5" x14ac:dyDescent="0.25">
      <c r="A20" s="182" t="s">
        <v>1701</v>
      </c>
      <c r="B20" s="182" t="s">
        <v>1702</v>
      </c>
      <c r="C20" s="183"/>
      <c r="D20" s="854">
        <f>-462183+454413</f>
        <v>-7770</v>
      </c>
      <c r="E20" s="187">
        <v>-10170</v>
      </c>
      <c r="F20" s="1447"/>
      <c r="G20" s="854">
        <f>16905-140000</f>
        <v>-123095</v>
      </c>
      <c r="H20" s="187">
        <v>-9501</v>
      </c>
    </row>
    <row r="21" spans="1:8" ht="23.25" thickBot="1" x14ac:dyDescent="0.3">
      <c r="A21" s="199" t="s">
        <v>1121</v>
      </c>
      <c r="B21" s="199" t="s">
        <v>1703</v>
      </c>
      <c r="C21" s="336"/>
      <c r="D21" s="854">
        <f>330630-454413</f>
        <v>-123783</v>
      </c>
      <c r="E21" s="219">
        <v>-844</v>
      </c>
      <c r="F21" s="1447"/>
      <c r="G21" s="854">
        <f>321203-314413</f>
        <v>6790</v>
      </c>
      <c r="H21" s="219">
        <v>3594</v>
      </c>
    </row>
    <row r="22" spans="1:8" x14ac:dyDescent="0.25">
      <c r="A22" s="202" t="s">
        <v>457</v>
      </c>
      <c r="B22" s="202" t="s">
        <v>704</v>
      </c>
      <c r="C22" s="340"/>
      <c r="D22" s="878">
        <f>SUM(D18:D21)</f>
        <v>389524</v>
      </c>
      <c r="E22" s="258">
        <f>SUM(E18:E21)</f>
        <v>362299</v>
      </c>
      <c r="F22" s="252"/>
      <c r="G22" s="878">
        <f>SUM(G18:G21)</f>
        <v>240398</v>
      </c>
      <c r="H22" s="258">
        <f>SUM(H18:H21)</f>
        <v>211669</v>
      </c>
    </row>
    <row r="23" spans="1:8" x14ac:dyDescent="0.25">
      <c r="A23" s="182" t="s">
        <v>458</v>
      </c>
      <c r="B23" s="182" t="s">
        <v>233</v>
      </c>
      <c r="C23" s="332"/>
      <c r="D23" s="839">
        <v>-11484</v>
      </c>
      <c r="E23" s="184">
        <v>-15529</v>
      </c>
      <c r="F23" s="252"/>
      <c r="G23" s="839">
        <v>-12324</v>
      </c>
      <c r="H23" s="184">
        <v>-16136</v>
      </c>
    </row>
    <row r="24" spans="1:8" x14ac:dyDescent="0.25">
      <c r="A24" s="182" t="s">
        <v>459</v>
      </c>
      <c r="B24" s="182" t="s">
        <v>234</v>
      </c>
      <c r="C24" s="183"/>
      <c r="D24" s="840">
        <v>1390</v>
      </c>
      <c r="E24" s="250">
        <v>2457</v>
      </c>
      <c r="F24" s="252"/>
      <c r="G24" s="840">
        <v>11632</v>
      </c>
      <c r="H24" s="250">
        <v>13306</v>
      </c>
    </row>
    <row r="25" spans="1:8" ht="15.75" thickBot="1" x14ac:dyDescent="0.25">
      <c r="A25" s="199" t="s">
        <v>1122</v>
      </c>
      <c r="B25" s="217" t="s">
        <v>1123</v>
      </c>
      <c r="C25" s="337"/>
      <c r="D25" s="868">
        <v>-41221</v>
      </c>
      <c r="E25" s="219">
        <v>-8041</v>
      </c>
      <c r="F25" s="252"/>
      <c r="G25" s="868">
        <v>-36908</v>
      </c>
      <c r="H25" s="219">
        <v>-7412</v>
      </c>
    </row>
    <row r="26" spans="1:8" x14ac:dyDescent="0.25">
      <c r="A26" s="202" t="s">
        <v>460</v>
      </c>
      <c r="B26" s="202" t="s">
        <v>555</v>
      </c>
      <c r="C26" s="340"/>
      <c r="D26" s="878">
        <f>SUM(D22:D25)</f>
        <v>338209</v>
      </c>
      <c r="E26" s="258">
        <f>SUM(E22:E25)</f>
        <v>341186</v>
      </c>
      <c r="F26" s="252"/>
      <c r="G26" s="878">
        <f>SUM(G22:G25)</f>
        <v>202798</v>
      </c>
      <c r="H26" s="258">
        <f>SUM(H22:H25)</f>
        <v>201427</v>
      </c>
    </row>
    <row r="27" spans="1:8" x14ac:dyDescent="0.25">
      <c r="A27" s="298" t="s">
        <v>462</v>
      </c>
      <c r="B27" s="298" t="s">
        <v>235</v>
      </c>
      <c r="C27" s="336"/>
      <c r="D27" s="900"/>
      <c r="E27" s="342"/>
      <c r="F27" s="252"/>
      <c r="G27" s="900"/>
      <c r="H27" s="342"/>
    </row>
    <row r="28" spans="1:8" x14ac:dyDescent="0.25">
      <c r="A28" s="179" t="s">
        <v>1129</v>
      </c>
      <c r="B28" s="179" t="s">
        <v>1130</v>
      </c>
      <c r="C28" s="227" t="s">
        <v>1508</v>
      </c>
      <c r="D28" s="867" t="s">
        <v>625</v>
      </c>
      <c r="E28" s="229" t="s">
        <v>625</v>
      </c>
      <c r="F28" s="98"/>
      <c r="G28" s="867">
        <f>-536302+454413</f>
        <v>-81889</v>
      </c>
      <c r="H28" s="229">
        <v>-78446</v>
      </c>
    </row>
    <row r="29" spans="1:8" x14ac:dyDescent="0.25">
      <c r="A29" s="182" t="s">
        <v>1131</v>
      </c>
      <c r="B29" s="182" t="s">
        <v>1132</v>
      </c>
      <c r="C29" s="183" t="s">
        <v>1508</v>
      </c>
      <c r="D29" s="839" t="s">
        <v>625</v>
      </c>
      <c r="E29" s="184" t="s">
        <v>625</v>
      </c>
      <c r="F29" s="252"/>
      <c r="G29" s="839">
        <v>60225</v>
      </c>
      <c r="H29" s="184">
        <v>80319</v>
      </c>
    </row>
    <row r="30" spans="1:8" x14ac:dyDescent="0.25">
      <c r="A30" s="182" t="s">
        <v>53</v>
      </c>
      <c r="B30" s="182" t="s">
        <v>236</v>
      </c>
      <c r="C30" s="332"/>
      <c r="D30" s="839">
        <v>-233744</v>
      </c>
      <c r="E30" s="184">
        <v>-185674</v>
      </c>
      <c r="F30" s="252"/>
      <c r="G30" s="839">
        <v>-88793</v>
      </c>
      <c r="H30" s="184">
        <v>-67282</v>
      </c>
    </row>
    <row r="31" spans="1:8" ht="22.5" x14ac:dyDescent="0.25">
      <c r="A31" s="182" t="s">
        <v>471</v>
      </c>
      <c r="B31" s="182" t="s">
        <v>470</v>
      </c>
      <c r="C31" s="332"/>
      <c r="D31" s="956" t="s">
        <v>625</v>
      </c>
      <c r="E31" s="302">
        <v>242</v>
      </c>
      <c r="F31" s="1447"/>
      <c r="G31" s="956" t="s">
        <v>625</v>
      </c>
      <c r="H31" s="302" t="s">
        <v>625</v>
      </c>
    </row>
    <row r="32" spans="1:8" x14ac:dyDescent="0.25">
      <c r="A32" s="199" t="s">
        <v>1136</v>
      </c>
      <c r="B32" s="199" t="s">
        <v>1133</v>
      </c>
      <c r="C32" s="183" t="s">
        <v>1447</v>
      </c>
      <c r="D32" s="898" t="s">
        <v>625</v>
      </c>
      <c r="E32" s="338" t="s">
        <v>625</v>
      </c>
      <c r="F32" s="252"/>
      <c r="G32" s="898">
        <v>9111</v>
      </c>
      <c r="H32" s="338">
        <v>17033</v>
      </c>
    </row>
    <row r="33" spans="1:8" ht="23.25" thickBot="1" x14ac:dyDescent="0.3">
      <c r="A33" s="199" t="s">
        <v>54</v>
      </c>
      <c r="B33" s="199" t="s">
        <v>705</v>
      </c>
      <c r="C33" s="336"/>
      <c r="D33" s="966">
        <v>3569</v>
      </c>
      <c r="E33" s="967">
        <v>7914</v>
      </c>
      <c r="F33" s="1447"/>
      <c r="G33" s="966">
        <v>3569</v>
      </c>
      <c r="H33" s="967">
        <v>7914</v>
      </c>
    </row>
    <row r="34" spans="1:8" ht="22.5" x14ac:dyDescent="0.25">
      <c r="A34" s="202" t="s">
        <v>461</v>
      </c>
      <c r="B34" s="202" t="s">
        <v>706</v>
      </c>
      <c r="C34" s="340"/>
      <c r="D34" s="1037">
        <f>SUM(D28:D33)</f>
        <v>-230175</v>
      </c>
      <c r="E34" s="1451">
        <f>SUM(E28:E33)</f>
        <v>-177518</v>
      </c>
      <c r="F34" s="1447"/>
      <c r="G34" s="1037">
        <f>SUM(G28:G33)</f>
        <v>-97777</v>
      </c>
      <c r="H34" s="1451">
        <f>SUM(H28:H33)</f>
        <v>-40462</v>
      </c>
    </row>
    <row r="35" spans="1:8" x14ac:dyDescent="0.25">
      <c r="A35" s="188" t="s">
        <v>463</v>
      </c>
      <c r="B35" s="188" t="s">
        <v>237</v>
      </c>
      <c r="C35" s="332"/>
      <c r="D35" s="897"/>
      <c r="E35" s="335"/>
      <c r="F35" s="252"/>
      <c r="G35" s="897"/>
      <c r="H35" s="335"/>
    </row>
    <row r="36" spans="1:8" x14ac:dyDescent="0.25">
      <c r="A36" s="182" t="s">
        <v>409</v>
      </c>
      <c r="B36" s="182" t="s">
        <v>408</v>
      </c>
      <c r="C36" s="183" t="s">
        <v>679</v>
      </c>
      <c r="D36" s="840" t="s">
        <v>625</v>
      </c>
      <c r="E36" s="250">
        <v>26267</v>
      </c>
      <c r="F36" s="252"/>
      <c r="G36" s="840" t="s">
        <v>625</v>
      </c>
      <c r="H36" s="250">
        <v>26267</v>
      </c>
    </row>
    <row r="37" spans="1:8" x14ac:dyDescent="0.25">
      <c r="A37" s="182" t="s">
        <v>994</v>
      </c>
      <c r="B37" s="182" t="s">
        <v>1124</v>
      </c>
      <c r="C37" s="183" t="s">
        <v>679</v>
      </c>
      <c r="D37" s="839">
        <v>-70000</v>
      </c>
      <c r="E37" s="250" t="s">
        <v>625</v>
      </c>
      <c r="F37" s="252"/>
      <c r="G37" s="839">
        <v>-70000</v>
      </c>
      <c r="H37" s="250" t="s">
        <v>625</v>
      </c>
    </row>
    <row r="38" spans="1:8" x14ac:dyDescent="0.25">
      <c r="A38" s="182" t="s">
        <v>56</v>
      </c>
      <c r="B38" s="182" t="s">
        <v>1704</v>
      </c>
      <c r="C38" s="183" t="s">
        <v>679</v>
      </c>
      <c r="D38" s="840">
        <v>186500</v>
      </c>
      <c r="E38" s="250">
        <v>55744</v>
      </c>
      <c r="F38" s="252"/>
      <c r="G38" s="840">
        <v>185000</v>
      </c>
      <c r="H38" s="250">
        <v>55000</v>
      </c>
    </row>
    <row r="39" spans="1:8" x14ac:dyDescent="0.25">
      <c r="A39" s="182" t="s">
        <v>707</v>
      </c>
      <c r="B39" s="182" t="s">
        <v>238</v>
      </c>
      <c r="C39" s="183" t="s">
        <v>679</v>
      </c>
      <c r="D39" s="839">
        <v>-80976</v>
      </c>
      <c r="E39" s="184">
        <v>-87452</v>
      </c>
      <c r="F39" s="252"/>
      <c r="G39" s="839">
        <v>-78221</v>
      </c>
      <c r="H39" s="184">
        <v>-85441</v>
      </c>
    </row>
    <row r="40" spans="1:8" x14ac:dyDescent="0.25">
      <c r="A40" s="182" t="s">
        <v>392</v>
      </c>
      <c r="B40" s="182" t="s">
        <v>708</v>
      </c>
      <c r="C40" s="183" t="s">
        <v>710</v>
      </c>
      <c r="D40" s="839">
        <v>-1393</v>
      </c>
      <c r="E40" s="184">
        <v>-1377</v>
      </c>
      <c r="F40" s="252"/>
      <c r="G40" s="839" t="s">
        <v>625</v>
      </c>
      <c r="H40" s="184" t="s">
        <v>625</v>
      </c>
    </row>
    <row r="41" spans="1:8" ht="23.25" thickBot="1" x14ac:dyDescent="0.3">
      <c r="A41" s="199" t="s">
        <v>857</v>
      </c>
      <c r="B41" s="199" t="s">
        <v>856</v>
      </c>
      <c r="C41" s="254" t="s">
        <v>710</v>
      </c>
      <c r="D41" s="868">
        <v>-90142</v>
      </c>
      <c r="E41" s="219">
        <v>-77413</v>
      </c>
      <c r="F41" s="1447"/>
      <c r="G41" s="868">
        <v>-90142</v>
      </c>
      <c r="H41" s="219">
        <v>-77413</v>
      </c>
    </row>
    <row r="42" spans="1:8" ht="22.5" x14ac:dyDescent="0.25">
      <c r="A42" s="202" t="s">
        <v>464</v>
      </c>
      <c r="B42" s="202" t="s">
        <v>777</v>
      </c>
      <c r="C42" s="340"/>
      <c r="D42" s="1037">
        <f>SUM(D36:D41)</f>
        <v>-56011</v>
      </c>
      <c r="E42" s="1451">
        <f>SUM(E36:E41)</f>
        <v>-84231</v>
      </c>
      <c r="F42" s="1447"/>
      <c r="G42" s="1037">
        <f>SUM(G36:G41)</f>
        <v>-53363</v>
      </c>
      <c r="H42" s="1451">
        <f>SUM(H36:H41)</f>
        <v>-81587</v>
      </c>
    </row>
    <row r="43" spans="1:8" ht="6.75" customHeight="1" x14ac:dyDescent="0.25">
      <c r="A43" s="336"/>
      <c r="B43" s="336"/>
      <c r="C43" s="336"/>
      <c r="D43" s="1452"/>
      <c r="E43" s="1453"/>
      <c r="F43" s="1447"/>
      <c r="G43" s="1452"/>
      <c r="H43" s="1453"/>
    </row>
    <row r="44" spans="1:8" ht="15" customHeight="1" x14ac:dyDescent="0.25">
      <c r="A44" s="214" t="s">
        <v>861</v>
      </c>
      <c r="B44" s="214" t="s">
        <v>859</v>
      </c>
      <c r="C44" s="344"/>
      <c r="D44" s="1454">
        <f>SUM(D26,D34,D42)</f>
        <v>52023</v>
      </c>
      <c r="E44" s="1455">
        <f>SUM(E26,E34,E42)</f>
        <v>79437</v>
      </c>
      <c r="F44" s="1447"/>
      <c r="G44" s="1454">
        <f>SUM(G26,G34,G42)</f>
        <v>51658</v>
      </c>
      <c r="H44" s="1455">
        <f>SUM(H26,H34,H42)</f>
        <v>79378</v>
      </c>
    </row>
    <row r="45" spans="1:8" ht="23.25" thickBot="1" x14ac:dyDescent="0.3">
      <c r="A45" s="199" t="s">
        <v>58</v>
      </c>
      <c r="B45" s="199" t="s">
        <v>239</v>
      </c>
      <c r="C45" s="218">
        <v>18</v>
      </c>
      <c r="D45" s="1445">
        <f>E46</f>
        <v>183980</v>
      </c>
      <c r="E45" s="1446">
        <v>104543</v>
      </c>
      <c r="F45" s="1447"/>
      <c r="G45" s="1445">
        <f>H46</f>
        <v>181197</v>
      </c>
      <c r="H45" s="1446">
        <v>101819</v>
      </c>
    </row>
    <row r="46" spans="1:8" ht="23.25" thickBot="1" x14ac:dyDescent="0.3">
      <c r="A46" s="326" t="s">
        <v>854</v>
      </c>
      <c r="B46" s="326" t="s">
        <v>855</v>
      </c>
      <c r="C46" s="1448">
        <v>18</v>
      </c>
      <c r="D46" s="1449">
        <f>SUM(D44:D45)</f>
        <v>236003</v>
      </c>
      <c r="E46" s="1450">
        <f>SUM(E44:E45)</f>
        <v>183980</v>
      </c>
      <c r="F46" s="1447"/>
      <c r="G46" s="1449">
        <f>SUM(G44:G45)</f>
        <v>232855</v>
      </c>
      <c r="H46" s="1450">
        <f>SUM(H44:H45)</f>
        <v>181197</v>
      </c>
    </row>
  </sheetData>
  <sheetProtection algorithmName="SHA-512" hashValue="JNFdjLVcoV8hpaxZBLDmJTI4JI11EDXeRyvQYMul3n8JHpMHoWKfRZx7bgUnOww+wn3QY4v7ECppf0i793Asgg==" saltValue="F6tfKCUcDx0ugARj4K3EPw==" spinCount="100000" sheet="1" objects="1" scenarios="1"/>
  <mergeCells count="5">
    <mergeCell ref="A4:A5"/>
    <mergeCell ref="B4:B5"/>
    <mergeCell ref="C4:C5"/>
    <mergeCell ref="D4:E4"/>
    <mergeCell ref="G4:H4"/>
  </mergeCells>
  <pageMargins left="1.1811023622047245" right="0" top="0" bottom="0"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pane ySplit="5" topLeftCell="A6" activePane="bottomLeft" state="frozen"/>
      <selection pane="bottomLeft" activeCell="D18" sqref="D18"/>
    </sheetView>
  </sheetViews>
  <sheetFormatPr defaultColWidth="9.140625" defaultRowHeight="11.25" outlineLevelRow="1" outlineLevelCol="1" x14ac:dyDescent="0.2"/>
  <cols>
    <col min="1" max="1" width="41.42578125" style="666" customWidth="1"/>
    <col min="2" max="2" width="43.5703125" style="666" customWidth="1" outlineLevel="1"/>
    <col min="3" max="3" width="11.28515625" style="666" customWidth="1"/>
    <col min="4" max="4" width="15.5703125" style="666" customWidth="1"/>
    <col min="5" max="5" width="14.5703125" style="666" customWidth="1"/>
    <col min="6" max="6" width="11.42578125" style="666" customWidth="1"/>
    <col min="7" max="7" width="3.140625" style="666" customWidth="1"/>
    <col min="8" max="8" width="11.28515625" style="666" customWidth="1"/>
    <col min="9" max="9" width="15.42578125" style="666" customWidth="1"/>
    <col min="10" max="10" width="14.5703125" style="666" customWidth="1"/>
    <col min="11" max="11" width="11.42578125" style="666" customWidth="1"/>
    <col min="12" max="16384" width="9.140625" style="666"/>
  </cols>
  <sheetData>
    <row r="1" spans="1:16" ht="15" x14ac:dyDescent="0.2">
      <c r="A1" s="27" t="str">
        <f>'Cash Flows'!A1</f>
        <v>LATVENERGO KONCERNA un AS „LATVENERGO”</v>
      </c>
      <c r="B1" s="27" t="str">
        <f>'Cash Flows'!B1</f>
        <v>LATVENERGO GROUP and LATVENERGO AS</v>
      </c>
    </row>
    <row r="2" spans="1:16" ht="15" x14ac:dyDescent="0.2">
      <c r="A2" s="27" t="str">
        <f>'Cash Flows'!A2</f>
        <v>2017. GADA FINANŠU PĀRSKATI</v>
      </c>
      <c r="B2" s="27" t="str">
        <f>'Cash Flows'!B2</f>
        <v>FINANCIAL STATEMENTS 2017</v>
      </c>
    </row>
    <row r="5" spans="1:16" ht="15.75" x14ac:dyDescent="0.2">
      <c r="A5" s="29" t="s">
        <v>1041</v>
      </c>
      <c r="B5" s="29" t="s">
        <v>1722</v>
      </c>
    </row>
    <row r="6" spans="1:16" ht="15.75" x14ac:dyDescent="0.2">
      <c r="A6" s="29"/>
      <c r="B6" s="29"/>
    </row>
    <row r="7" spans="1:16" ht="15.75" thickBot="1" x14ac:dyDescent="0.25">
      <c r="A7" s="1439" t="s">
        <v>1139</v>
      </c>
      <c r="B7" s="1439" t="s">
        <v>1042</v>
      </c>
      <c r="F7" s="716"/>
      <c r="K7" s="716" t="s">
        <v>51</v>
      </c>
    </row>
    <row r="8" spans="1:16" ht="15.75" thickBot="1" x14ac:dyDescent="0.25">
      <c r="A8" s="1489" t="s">
        <v>1017</v>
      </c>
      <c r="B8" s="1489" t="s">
        <v>1071</v>
      </c>
      <c r="C8" s="1493" t="s">
        <v>949</v>
      </c>
      <c r="D8" s="1493"/>
      <c r="E8" s="1493"/>
      <c r="F8" s="1493"/>
      <c r="H8" s="1493" t="s">
        <v>1403</v>
      </c>
      <c r="I8" s="1493"/>
      <c r="J8" s="1493"/>
      <c r="K8" s="1493"/>
    </row>
    <row r="9" spans="1:16" ht="22.5" x14ac:dyDescent="0.2">
      <c r="A9" s="1491"/>
      <c r="B9" s="1491"/>
      <c r="C9" s="717">
        <v>42735</v>
      </c>
      <c r="D9" s="718" t="s">
        <v>1138</v>
      </c>
      <c r="E9" s="718" t="s">
        <v>1137</v>
      </c>
      <c r="F9" s="902">
        <v>42736</v>
      </c>
      <c r="H9" s="717">
        <v>42735</v>
      </c>
      <c r="I9" s="718" t="s">
        <v>1138</v>
      </c>
      <c r="J9" s="718" t="s">
        <v>1137</v>
      </c>
      <c r="K9" s="902">
        <v>42736</v>
      </c>
    </row>
    <row r="10" spans="1:16" ht="23.25" outlineLevel="1" thickBot="1" x14ac:dyDescent="0.25">
      <c r="A10" s="1490"/>
      <c r="B10" s="1490"/>
      <c r="C10" s="649">
        <v>42735</v>
      </c>
      <c r="D10" s="671" t="s">
        <v>1018</v>
      </c>
      <c r="E10" s="671" t="s">
        <v>1016</v>
      </c>
      <c r="F10" s="903">
        <v>42736</v>
      </c>
      <c r="H10" s="768">
        <v>42735</v>
      </c>
      <c r="I10" s="671" t="s">
        <v>1018</v>
      </c>
      <c r="J10" s="671" t="s">
        <v>1016</v>
      </c>
      <c r="K10" s="903">
        <v>42736</v>
      </c>
    </row>
    <row r="11" spans="1:16" x14ac:dyDescent="0.2">
      <c r="A11" s="646"/>
      <c r="B11" s="646"/>
      <c r="C11" s="650"/>
      <c r="D11" s="650"/>
      <c r="E11" s="650"/>
      <c r="F11" s="904"/>
      <c r="H11" s="650"/>
      <c r="I11" s="650"/>
      <c r="J11" s="650"/>
      <c r="K11" s="904"/>
    </row>
    <row r="12" spans="1:16" x14ac:dyDescent="0.2">
      <c r="A12" s="674" t="s">
        <v>1019</v>
      </c>
      <c r="B12" s="674" t="s">
        <v>206</v>
      </c>
      <c r="C12" s="650"/>
      <c r="D12" s="650"/>
      <c r="E12" s="650"/>
      <c r="F12" s="904"/>
      <c r="H12" s="650"/>
      <c r="I12" s="650"/>
      <c r="J12" s="650"/>
      <c r="K12" s="904"/>
    </row>
    <row r="13" spans="1:16" x14ac:dyDescent="0.2">
      <c r="A13" s="651" t="s">
        <v>23</v>
      </c>
      <c r="B13" s="651" t="s">
        <v>210</v>
      </c>
      <c r="C13" s="644"/>
      <c r="D13" s="644"/>
      <c r="E13" s="644"/>
      <c r="F13" s="904"/>
      <c r="H13" s="767"/>
      <c r="I13" s="767"/>
      <c r="J13" s="767"/>
      <c r="K13" s="904"/>
    </row>
    <row r="14" spans="1:16" x14ac:dyDescent="0.2">
      <c r="A14" s="89" t="s">
        <v>1020</v>
      </c>
      <c r="B14" s="89" t="s">
        <v>1021</v>
      </c>
      <c r="C14" s="715">
        <v>0</v>
      </c>
      <c r="D14" s="652">
        <v>0</v>
      </c>
      <c r="E14" s="656">
        <f>'Financial Position'!E21</f>
        <v>118925</v>
      </c>
      <c r="F14" s="905">
        <f>SUM(C14:E14)</f>
        <v>118925</v>
      </c>
      <c r="H14" s="715">
        <v>0</v>
      </c>
      <c r="I14" s="652">
        <v>0</v>
      </c>
      <c r="J14" s="656">
        <f>'Financial Position'!H21</f>
        <v>102056</v>
      </c>
      <c r="K14" s="905">
        <f>SUM(H14:J14)</f>
        <v>102056</v>
      </c>
      <c r="P14" s="1080"/>
    </row>
    <row r="15" spans="1:16" ht="11.25" customHeight="1" x14ac:dyDescent="0.2">
      <c r="A15" s="89" t="s">
        <v>1098</v>
      </c>
      <c r="B15" s="89" t="s">
        <v>1097</v>
      </c>
      <c r="C15" s="653">
        <f>SUM('Financial Position'!E21:E22)</f>
        <v>273958</v>
      </c>
      <c r="D15" s="652">
        <v>0</v>
      </c>
      <c r="E15" s="656">
        <f>-'Financial Position'!E21</f>
        <v>-118925</v>
      </c>
      <c r="F15" s="905">
        <f>SUM(C15:E15)</f>
        <v>155033</v>
      </c>
      <c r="H15" s="653">
        <f>SUM('Financial Position'!H21:H22)</f>
        <v>113659</v>
      </c>
      <c r="I15" s="652">
        <v>0</v>
      </c>
      <c r="J15" s="656">
        <f>-'Financial Position'!H21</f>
        <v>-102056</v>
      </c>
      <c r="K15" s="905">
        <f>SUM(H15:J15)</f>
        <v>11603</v>
      </c>
      <c r="P15" s="1080"/>
    </row>
    <row r="16" spans="1:16" x14ac:dyDescent="0.2">
      <c r="A16" s="654" t="s">
        <v>27</v>
      </c>
      <c r="B16" s="654" t="s">
        <v>214</v>
      </c>
      <c r="C16" s="655">
        <f>'Financial Position'!E28</f>
        <v>512277</v>
      </c>
      <c r="D16" s="652">
        <v>0</v>
      </c>
      <c r="E16" s="652">
        <v>0</v>
      </c>
      <c r="F16" s="905">
        <f>SUM(C16:E16)</f>
        <v>512277</v>
      </c>
      <c r="H16" s="655">
        <f>'Financial Position'!H28</f>
        <v>577834</v>
      </c>
      <c r="I16" s="652">
        <v>0</v>
      </c>
      <c r="J16" s="652">
        <v>0</v>
      </c>
      <c r="K16" s="905">
        <f>SUM(H16:J16)</f>
        <v>577834</v>
      </c>
      <c r="P16" s="1080"/>
    </row>
    <row r="17" spans="1:16" x14ac:dyDescent="0.2">
      <c r="A17" s="654" t="s">
        <v>28</v>
      </c>
      <c r="B17" s="654" t="s">
        <v>215</v>
      </c>
      <c r="C17" s="655">
        <f>'Financial Position'!E29</f>
        <v>3901231</v>
      </c>
      <c r="D17" s="652">
        <v>0</v>
      </c>
      <c r="E17" s="652">
        <v>0</v>
      </c>
      <c r="F17" s="905">
        <f>SUM(C17:E17)</f>
        <v>3901231</v>
      </c>
      <c r="H17" s="655">
        <f>'Financial Position'!H29</f>
        <v>3204394</v>
      </c>
      <c r="I17" s="652">
        <v>0</v>
      </c>
      <c r="J17" s="652">
        <v>0</v>
      </c>
      <c r="K17" s="905">
        <f>SUM(H17:J17)</f>
        <v>3204394</v>
      </c>
      <c r="P17" s="1080"/>
    </row>
    <row r="18" spans="1:16" x14ac:dyDescent="0.2">
      <c r="A18" s="646"/>
      <c r="B18" s="646"/>
      <c r="C18" s="650"/>
      <c r="D18" s="650"/>
      <c r="E18" s="650"/>
      <c r="F18" s="904"/>
      <c r="H18" s="650"/>
      <c r="I18" s="650"/>
      <c r="J18" s="650"/>
      <c r="K18" s="904"/>
      <c r="P18" s="1080"/>
    </row>
    <row r="19" spans="1:16" x14ac:dyDescent="0.2">
      <c r="A19" s="2" t="s">
        <v>1022</v>
      </c>
      <c r="B19" s="2" t="s">
        <v>1023</v>
      </c>
      <c r="C19" s="667"/>
      <c r="D19" s="667"/>
      <c r="E19" s="667"/>
      <c r="F19" s="904"/>
      <c r="H19" s="667"/>
      <c r="I19" s="667"/>
      <c r="J19" s="667"/>
      <c r="K19" s="904"/>
      <c r="P19" s="1080"/>
    </row>
    <row r="20" spans="1:16" x14ac:dyDescent="0.2">
      <c r="A20" s="651" t="s">
        <v>1024</v>
      </c>
      <c r="B20" s="651" t="s">
        <v>1025</v>
      </c>
      <c r="C20" s="644"/>
      <c r="D20" s="644"/>
      <c r="E20" s="644"/>
      <c r="F20" s="904"/>
      <c r="H20" s="1079"/>
      <c r="I20" s="1079"/>
      <c r="J20" s="1079"/>
      <c r="K20" s="904"/>
      <c r="P20" s="1080"/>
    </row>
    <row r="21" spans="1:16" x14ac:dyDescent="0.2">
      <c r="A21" s="89" t="s">
        <v>33</v>
      </c>
      <c r="B21" s="89" t="s">
        <v>220</v>
      </c>
      <c r="C21" s="656">
        <f>'Financial Position'!E34</f>
        <v>185840</v>
      </c>
      <c r="D21" s="657">
        <v>-10</v>
      </c>
      <c r="E21" s="656" t="s">
        <v>572</v>
      </c>
      <c r="F21" s="839">
        <f>SUM(C21:E21)</f>
        <v>185830</v>
      </c>
      <c r="H21" s="656">
        <f>'Financial Position'!H34</f>
        <v>238334</v>
      </c>
      <c r="I21" s="652">
        <v>0</v>
      </c>
      <c r="J21" s="656" t="s">
        <v>572</v>
      </c>
      <c r="K21" s="839">
        <f>SUM(H21:J21)</f>
        <v>238334</v>
      </c>
      <c r="P21" s="1080"/>
    </row>
    <row r="22" spans="1:16" x14ac:dyDescent="0.2">
      <c r="A22" s="654" t="s">
        <v>35</v>
      </c>
      <c r="B22" s="654" t="s">
        <v>221</v>
      </c>
      <c r="C22" s="655">
        <f>'Financial Position'!E37</f>
        <v>2418713</v>
      </c>
      <c r="D22" s="658">
        <v>-10</v>
      </c>
      <c r="E22" s="655" t="s">
        <v>572</v>
      </c>
      <c r="F22" s="905">
        <f>SUM(C22:E22)</f>
        <v>2418703</v>
      </c>
      <c r="H22" s="655">
        <f>'Financial Position'!H37</f>
        <v>2177069</v>
      </c>
      <c r="I22" s="652">
        <v>0</v>
      </c>
      <c r="J22" s="655" t="s">
        <v>572</v>
      </c>
      <c r="K22" s="905">
        <f>SUM(H22:J22)</f>
        <v>2177069</v>
      </c>
      <c r="P22" s="1080"/>
    </row>
    <row r="23" spans="1:16" x14ac:dyDescent="0.2">
      <c r="A23" s="645"/>
      <c r="B23" s="645"/>
      <c r="C23" s="667"/>
      <c r="D23" s="667"/>
      <c r="E23" s="667"/>
      <c r="F23" s="904"/>
      <c r="H23" s="667"/>
      <c r="I23" s="667"/>
      <c r="J23" s="667"/>
      <c r="K23" s="904"/>
      <c r="P23" s="1080"/>
    </row>
    <row r="24" spans="1:16" x14ac:dyDescent="0.2">
      <c r="A24" s="651" t="s">
        <v>37</v>
      </c>
      <c r="B24" s="651" t="s">
        <v>1026</v>
      </c>
      <c r="C24" s="668"/>
      <c r="D24" s="668"/>
      <c r="E24" s="668"/>
      <c r="F24" s="906"/>
      <c r="H24" s="668"/>
      <c r="I24" s="668"/>
      <c r="J24" s="668"/>
      <c r="K24" s="906"/>
      <c r="P24" s="1080"/>
    </row>
    <row r="25" spans="1:16" x14ac:dyDescent="0.2">
      <c r="A25" s="89" t="s">
        <v>1027</v>
      </c>
      <c r="B25" s="89" t="s">
        <v>1696</v>
      </c>
      <c r="C25" s="715">
        <v>0</v>
      </c>
      <c r="D25" s="715">
        <v>0</v>
      </c>
      <c r="E25" s="719">
        <f>'Financial Position'!E44</f>
        <v>141817</v>
      </c>
      <c r="F25" s="905">
        <f>SUM(C25:E25)</f>
        <v>141817</v>
      </c>
      <c r="H25" s="715">
        <v>0</v>
      </c>
      <c r="I25" s="715">
        <v>0</v>
      </c>
      <c r="J25" s="715">
        <v>0</v>
      </c>
      <c r="K25" s="911">
        <f>SUM(H25:J25)</f>
        <v>0</v>
      </c>
      <c r="P25" s="1080"/>
    </row>
    <row r="26" spans="1:16" x14ac:dyDescent="0.2">
      <c r="A26" s="89" t="s">
        <v>40</v>
      </c>
      <c r="B26" s="89" t="s">
        <v>225</v>
      </c>
      <c r="C26" s="715">
        <f>SUM('Financial Position'!E44:E45)</f>
        <v>195407</v>
      </c>
      <c r="D26" s="715">
        <v>0</v>
      </c>
      <c r="E26" s="656">
        <f>-'Financial Position'!E44</f>
        <v>-141817</v>
      </c>
      <c r="F26" s="905">
        <f>SUM(C26:E26)</f>
        <v>53590</v>
      </c>
      <c r="H26" s="715">
        <f>SUM('Financial Position'!H44:H45)</f>
        <v>1055</v>
      </c>
      <c r="I26" s="715">
        <v>0</v>
      </c>
      <c r="J26" s="715">
        <v>0</v>
      </c>
      <c r="K26" s="905">
        <f>SUM(H26:J26)</f>
        <v>1055</v>
      </c>
      <c r="P26" s="1080"/>
    </row>
    <row r="27" spans="1:16" x14ac:dyDescent="0.2">
      <c r="A27" s="654" t="s">
        <v>41</v>
      </c>
      <c r="B27" s="654" t="s">
        <v>1028</v>
      </c>
      <c r="C27" s="655">
        <f>'Financial Position'!E46</f>
        <v>1173375</v>
      </c>
      <c r="D27" s="659">
        <v>0</v>
      </c>
      <c r="E27" s="659">
        <v>0</v>
      </c>
      <c r="F27" s="905">
        <f>SUM(C27:E27)</f>
        <v>1173375</v>
      </c>
      <c r="H27" s="655">
        <f>'Financial Position'!H46</f>
        <v>770876</v>
      </c>
      <c r="I27" s="659">
        <v>0</v>
      </c>
      <c r="J27" s="659">
        <v>0</v>
      </c>
      <c r="K27" s="905">
        <f>SUM(H27:J27)</f>
        <v>770876</v>
      </c>
      <c r="P27" s="1080"/>
    </row>
    <row r="28" spans="1:16" x14ac:dyDescent="0.2">
      <c r="A28" s="660"/>
      <c r="B28" s="660"/>
      <c r="C28" s="661"/>
      <c r="D28" s="661"/>
      <c r="E28" s="662"/>
      <c r="F28" s="907"/>
      <c r="H28" s="661"/>
      <c r="I28" s="661"/>
      <c r="J28" s="662"/>
      <c r="K28" s="907"/>
      <c r="P28" s="1080"/>
    </row>
    <row r="29" spans="1:16" x14ac:dyDescent="0.2">
      <c r="A29" s="85" t="s">
        <v>42</v>
      </c>
      <c r="B29" s="85" t="s">
        <v>226</v>
      </c>
      <c r="C29" s="675"/>
      <c r="D29" s="675"/>
      <c r="E29" s="675"/>
      <c r="F29" s="908"/>
      <c r="H29" s="675"/>
      <c r="I29" s="675"/>
      <c r="J29" s="675"/>
      <c r="K29" s="908"/>
      <c r="P29" s="1080"/>
    </row>
    <row r="30" spans="1:16" x14ac:dyDescent="0.2">
      <c r="A30" s="89" t="s">
        <v>1027</v>
      </c>
      <c r="B30" s="89" t="s">
        <v>1696</v>
      </c>
      <c r="C30" s="715">
        <v>0</v>
      </c>
      <c r="D30" s="657">
        <v>10</v>
      </c>
      <c r="E30" s="656">
        <f>'Financial Position'!E49</f>
        <v>11605</v>
      </c>
      <c r="F30" s="905">
        <f>SUM(C30:E30)</f>
        <v>11615</v>
      </c>
      <c r="H30" s="715">
        <v>0</v>
      </c>
      <c r="I30" s="652">
        <v>0</v>
      </c>
      <c r="J30" s="652">
        <v>0</v>
      </c>
      <c r="K30" s="911">
        <f>SUM(H30:J30)</f>
        <v>0</v>
      </c>
      <c r="P30" s="1080"/>
    </row>
    <row r="31" spans="1:16" x14ac:dyDescent="0.2">
      <c r="A31" s="89" t="s">
        <v>999</v>
      </c>
      <c r="B31" s="89" t="s">
        <v>1003</v>
      </c>
      <c r="C31" s="656">
        <f>SUM('Financial Position'!E49:E50)</f>
        <v>14022</v>
      </c>
      <c r="D31" s="652">
        <v>0</v>
      </c>
      <c r="E31" s="656">
        <f>-'Financial Position'!E49</f>
        <v>-11605</v>
      </c>
      <c r="F31" s="905">
        <f>SUM(C31:E31)</f>
        <v>2417</v>
      </c>
      <c r="H31" s="656">
        <f>SUM('Financial Position'!H49:H50)</f>
        <v>59</v>
      </c>
      <c r="I31" s="652">
        <v>0</v>
      </c>
      <c r="J31" s="652">
        <v>0</v>
      </c>
      <c r="K31" s="905">
        <f>SUM(H31:J31)</f>
        <v>59</v>
      </c>
      <c r="P31" s="1080"/>
    </row>
    <row r="32" spans="1:16" x14ac:dyDescent="0.2">
      <c r="A32" s="654" t="s">
        <v>45</v>
      </c>
      <c r="B32" s="654" t="s">
        <v>229</v>
      </c>
      <c r="C32" s="655">
        <f>'Financial Position'!E54</f>
        <v>309143</v>
      </c>
      <c r="D32" s="658">
        <v>10</v>
      </c>
      <c r="E32" s="655" t="s">
        <v>572</v>
      </c>
      <c r="F32" s="905">
        <f t="shared" ref="F32:F33" si="0">SUM(C32:E32)</f>
        <v>309153</v>
      </c>
      <c r="H32" s="655">
        <f>'Financial Position'!H54</f>
        <v>256449</v>
      </c>
      <c r="I32" s="652">
        <v>0</v>
      </c>
      <c r="J32" s="655" t="s">
        <v>572</v>
      </c>
      <c r="K32" s="905">
        <f t="shared" ref="K32:K33" si="1">SUM(H32:J32)</f>
        <v>256449</v>
      </c>
      <c r="P32" s="1080"/>
    </row>
    <row r="33" spans="1:16" ht="12" thickBot="1" x14ac:dyDescent="0.25">
      <c r="A33" s="442" t="s">
        <v>46</v>
      </c>
      <c r="B33" s="442" t="s">
        <v>230</v>
      </c>
      <c r="C33" s="213">
        <f>'Financial Position'!E55</f>
        <v>3901231</v>
      </c>
      <c r="D33" s="720">
        <v>0</v>
      </c>
      <c r="E33" s="213" t="s">
        <v>572</v>
      </c>
      <c r="F33" s="871">
        <f t="shared" si="0"/>
        <v>3901231</v>
      </c>
      <c r="H33" s="213">
        <f>'Financial Position'!H55</f>
        <v>3204394</v>
      </c>
      <c r="I33" s="720">
        <v>0</v>
      </c>
      <c r="J33" s="213" t="s">
        <v>572</v>
      </c>
      <c r="K33" s="871">
        <f t="shared" si="1"/>
        <v>3204394</v>
      </c>
      <c r="P33" s="1080"/>
    </row>
    <row r="34" spans="1:16" x14ac:dyDescent="0.2">
      <c r="P34" s="1080"/>
    </row>
    <row r="36" spans="1:16" ht="45.75" thickBot="1" x14ac:dyDescent="0.3">
      <c r="A36" s="721" t="s">
        <v>1029</v>
      </c>
      <c r="B36" s="721" t="s">
        <v>1043</v>
      </c>
      <c r="E36" s="722"/>
      <c r="J36" s="722" t="str">
        <f>K7</f>
        <v>EUR'000</v>
      </c>
    </row>
    <row r="37" spans="1:16" ht="15.75" thickBot="1" x14ac:dyDescent="0.25">
      <c r="A37" s="771"/>
      <c r="B37" s="772"/>
      <c r="C37" s="1493" t="str">
        <f>C8</f>
        <v>Koncerns/Group</v>
      </c>
      <c r="D37" s="1493"/>
      <c r="E37" s="1493"/>
      <c r="H37" s="1493" t="str">
        <f>H8</f>
        <v>Mātessabiedrība/Parent Company</v>
      </c>
      <c r="I37" s="1493"/>
      <c r="J37" s="1493"/>
    </row>
    <row r="38" spans="1:16" ht="12" thickBot="1" x14ac:dyDescent="0.25">
      <c r="A38" s="425" t="s">
        <v>1017</v>
      </c>
      <c r="B38" s="425" t="s">
        <v>1071</v>
      </c>
      <c r="C38" s="1492">
        <v>43100</v>
      </c>
      <c r="D38" s="1492"/>
      <c r="E38" s="1492"/>
      <c r="H38" s="1492">
        <v>43100</v>
      </c>
      <c r="I38" s="1492"/>
      <c r="J38" s="1492"/>
    </row>
    <row r="39" spans="1:16" ht="34.5" thickBot="1" x14ac:dyDescent="0.25">
      <c r="A39" s="1489" t="s">
        <v>1044</v>
      </c>
      <c r="B39" s="1489" t="s">
        <v>1030</v>
      </c>
      <c r="C39" s="1436" t="s">
        <v>1697</v>
      </c>
      <c r="D39" s="1436" t="s">
        <v>1698</v>
      </c>
      <c r="E39" s="909" t="s">
        <v>1699</v>
      </c>
      <c r="H39" s="1436" t="s">
        <v>1697</v>
      </c>
      <c r="I39" s="1436" t="s">
        <v>1698</v>
      </c>
      <c r="J39" s="909" t="s">
        <v>1699</v>
      </c>
    </row>
    <row r="40" spans="1:16" ht="23.25" thickBot="1" x14ac:dyDescent="0.25">
      <c r="A40" s="1490"/>
      <c r="B40" s="1490"/>
      <c r="C40" s="672" t="s">
        <v>1031</v>
      </c>
      <c r="D40" s="672" t="s">
        <v>1032</v>
      </c>
      <c r="E40" s="909" t="s">
        <v>1033</v>
      </c>
      <c r="H40" s="672" t="s">
        <v>1031</v>
      </c>
      <c r="I40" s="672" t="s">
        <v>1032</v>
      </c>
      <c r="J40" s="909" t="s">
        <v>1033</v>
      </c>
    </row>
    <row r="41" spans="1:16" x14ac:dyDescent="0.2">
      <c r="A41" s="646"/>
      <c r="B41" s="646"/>
      <c r="C41" s="650"/>
      <c r="D41" s="650"/>
      <c r="E41" s="910"/>
      <c r="H41" s="650"/>
      <c r="I41" s="650"/>
      <c r="J41" s="910"/>
    </row>
    <row r="42" spans="1:16" x14ac:dyDescent="0.2">
      <c r="A42" s="674" t="s">
        <v>1019</v>
      </c>
      <c r="B42" s="674" t="s">
        <v>206</v>
      </c>
      <c r="C42" s="650"/>
      <c r="D42" s="650"/>
      <c r="E42" s="910"/>
      <c r="F42" s="650"/>
      <c r="H42" s="650"/>
      <c r="I42" s="650"/>
      <c r="J42" s="910"/>
    </row>
    <row r="43" spans="1:16" x14ac:dyDescent="0.2">
      <c r="A43" s="651" t="s">
        <v>23</v>
      </c>
      <c r="B43" s="651" t="s">
        <v>210</v>
      </c>
      <c r="C43" s="644"/>
      <c r="D43" s="644"/>
      <c r="E43" s="904"/>
      <c r="F43" s="650"/>
      <c r="H43" s="767"/>
      <c r="I43" s="767"/>
      <c r="J43" s="904"/>
    </row>
    <row r="44" spans="1:16" x14ac:dyDescent="0.2">
      <c r="A44" s="89" t="s">
        <v>1020</v>
      </c>
      <c r="B44" s="89" t="s">
        <v>1021</v>
      </c>
      <c r="C44" s="656">
        <f>'Financial Position'!D21</f>
        <v>105369</v>
      </c>
      <c r="D44" s="715">
        <f>C44</f>
        <v>105369</v>
      </c>
      <c r="E44" s="911">
        <f>C44-D44</f>
        <v>0</v>
      </c>
      <c r="F44" s="650"/>
      <c r="H44" s="656">
        <f>'Financial Position'!G21</f>
        <v>82799</v>
      </c>
      <c r="I44" s="715">
        <f>H44</f>
        <v>82799</v>
      </c>
      <c r="J44" s="911">
        <f>H44-I44</f>
        <v>0</v>
      </c>
    </row>
    <row r="45" spans="1:16" ht="11.25" customHeight="1" x14ac:dyDescent="0.2">
      <c r="A45" s="89" t="s">
        <v>1098</v>
      </c>
      <c r="B45" s="89" t="s">
        <v>1097</v>
      </c>
      <c r="C45" s="116">
        <f>'Financial Position'!D22</f>
        <v>646761</v>
      </c>
      <c r="D45" s="715">
        <f>C45</f>
        <v>646761</v>
      </c>
      <c r="E45" s="911">
        <f>C45-D45</f>
        <v>0</v>
      </c>
      <c r="F45" s="650"/>
      <c r="H45" s="116">
        <f>'Financial Position'!G22</f>
        <v>18079</v>
      </c>
      <c r="I45" s="116">
        <f>H45</f>
        <v>18079</v>
      </c>
      <c r="J45" s="911">
        <f>H45-I45</f>
        <v>0</v>
      </c>
    </row>
    <row r="46" spans="1:16" x14ac:dyDescent="0.2">
      <c r="A46" s="654" t="s">
        <v>27</v>
      </c>
      <c r="B46" s="654" t="s">
        <v>214</v>
      </c>
      <c r="C46" s="655">
        <f>'Financial Position'!D28</f>
        <v>1072321</v>
      </c>
      <c r="D46" s="655">
        <f t="shared" ref="D46:D47" si="2">C46</f>
        <v>1072321</v>
      </c>
      <c r="E46" s="911">
        <f t="shared" ref="E46:E47" si="3">C46-D46</f>
        <v>0</v>
      </c>
      <c r="F46" s="650"/>
      <c r="H46" s="655">
        <f>'Financial Position'!G28</f>
        <v>1103186</v>
      </c>
      <c r="I46" s="655">
        <f t="shared" ref="I46:I47" si="4">H46</f>
        <v>1103186</v>
      </c>
      <c r="J46" s="911">
        <f t="shared" ref="J46:J47" si="5">H46-I46</f>
        <v>0</v>
      </c>
    </row>
    <row r="47" spans="1:16" x14ac:dyDescent="0.2">
      <c r="A47" s="654" t="s">
        <v>28</v>
      </c>
      <c r="B47" s="654" t="s">
        <v>215</v>
      </c>
      <c r="C47" s="655">
        <f>'Financial Position'!D29</f>
        <v>4415725</v>
      </c>
      <c r="D47" s="655">
        <f t="shared" si="2"/>
        <v>4415725</v>
      </c>
      <c r="E47" s="911">
        <f t="shared" si="3"/>
        <v>0</v>
      </c>
      <c r="F47" s="650"/>
      <c r="H47" s="655">
        <f>'Financial Position'!G29</f>
        <v>3649200</v>
      </c>
      <c r="I47" s="655">
        <f t="shared" si="4"/>
        <v>3649200</v>
      </c>
      <c r="J47" s="911">
        <f t="shared" si="5"/>
        <v>0</v>
      </c>
    </row>
    <row r="48" spans="1:16" x14ac:dyDescent="0.2">
      <c r="A48" s="646"/>
      <c r="B48" s="646"/>
      <c r="C48" s="650"/>
      <c r="D48" s="650"/>
      <c r="E48" s="910"/>
      <c r="H48" s="650"/>
      <c r="I48" s="650"/>
      <c r="J48" s="910"/>
    </row>
    <row r="49" spans="1:10" x14ac:dyDescent="0.2">
      <c r="A49" s="2" t="s">
        <v>1022</v>
      </c>
      <c r="B49" s="2" t="s">
        <v>1023</v>
      </c>
      <c r="C49" s="667"/>
      <c r="D49" s="667"/>
      <c r="E49" s="912"/>
      <c r="H49" s="667"/>
      <c r="I49" s="667"/>
      <c r="J49" s="912"/>
    </row>
    <row r="50" spans="1:10" x14ac:dyDescent="0.2">
      <c r="A50" s="651" t="s">
        <v>1024</v>
      </c>
      <c r="B50" s="651" t="s">
        <v>1025</v>
      </c>
      <c r="C50" s="644"/>
      <c r="D50" s="644"/>
      <c r="E50" s="904"/>
      <c r="H50" s="767"/>
      <c r="I50" s="767"/>
      <c r="J50" s="904"/>
    </row>
    <row r="51" spans="1:10" x14ac:dyDescent="0.2">
      <c r="A51" s="89" t="s">
        <v>33</v>
      </c>
      <c r="B51" s="89" t="s">
        <v>220</v>
      </c>
      <c r="C51" s="656">
        <f>'Financial Position'!D34</f>
        <v>423613</v>
      </c>
      <c r="D51" s="656">
        <f>C51+253</f>
        <v>423866</v>
      </c>
      <c r="E51" s="839">
        <f>C51-D51</f>
        <v>-253</v>
      </c>
      <c r="F51" s="669"/>
      <c r="H51" s="656">
        <f>'Financial Position'!G34</f>
        <v>302017</v>
      </c>
      <c r="I51" s="656">
        <f>H51</f>
        <v>302017</v>
      </c>
      <c r="J51" s="911">
        <f>H51-I51</f>
        <v>0</v>
      </c>
    </row>
    <row r="52" spans="1:10" x14ac:dyDescent="0.2">
      <c r="A52" s="654" t="s">
        <v>35</v>
      </c>
      <c r="B52" s="654" t="s">
        <v>221</v>
      </c>
      <c r="C52" s="655">
        <f>'Financial Position'!D37</f>
        <v>2846891</v>
      </c>
      <c r="D52" s="655">
        <f>C52+253</f>
        <v>2847144</v>
      </c>
      <c r="E52" s="905">
        <f>C52-D52</f>
        <v>-253</v>
      </c>
      <c r="F52" s="669"/>
      <c r="H52" s="655">
        <f>'Financial Position'!G37</f>
        <v>2382638</v>
      </c>
      <c r="I52" s="655">
        <f>H52</f>
        <v>2382638</v>
      </c>
      <c r="J52" s="911">
        <f>H52-I52</f>
        <v>0</v>
      </c>
    </row>
    <row r="53" spans="1:10" x14ac:dyDescent="0.2">
      <c r="A53" s="645"/>
      <c r="B53" s="646"/>
      <c r="C53" s="663"/>
      <c r="D53" s="663"/>
      <c r="E53" s="913"/>
      <c r="H53" s="663"/>
      <c r="I53" s="663"/>
      <c r="J53" s="913"/>
    </row>
    <row r="54" spans="1:10" x14ac:dyDescent="0.2">
      <c r="A54" s="651" t="s">
        <v>37</v>
      </c>
      <c r="B54" s="651" t="s">
        <v>1026</v>
      </c>
      <c r="C54" s="668"/>
      <c r="D54" s="668"/>
      <c r="E54" s="906"/>
      <c r="H54" s="668"/>
      <c r="I54" s="668"/>
      <c r="J54" s="906"/>
    </row>
    <row r="55" spans="1:10" x14ac:dyDescent="0.2">
      <c r="A55" s="89" t="s">
        <v>1027</v>
      </c>
      <c r="B55" s="89" t="s">
        <v>1696</v>
      </c>
      <c r="C55" s="656">
        <f>'Financial Position'!D44</f>
        <v>142132</v>
      </c>
      <c r="D55" s="715">
        <f>C55</f>
        <v>142132</v>
      </c>
      <c r="E55" s="911">
        <f>C55-D55</f>
        <v>0</v>
      </c>
      <c r="H55" s="656" t="str">
        <f>'Financial Position'!G44</f>
        <v>‒</v>
      </c>
      <c r="I55" s="652">
        <v>0</v>
      </c>
      <c r="J55" s="911">
        <f>SUM(G55:I55)</f>
        <v>0</v>
      </c>
    </row>
    <row r="56" spans="1:10" x14ac:dyDescent="0.2">
      <c r="A56" s="89" t="s">
        <v>40</v>
      </c>
      <c r="B56" s="89" t="s">
        <v>225</v>
      </c>
      <c r="C56" s="656">
        <f>'Financial Position'!D45</f>
        <v>350926</v>
      </c>
      <c r="D56" s="715">
        <f>C56</f>
        <v>350926</v>
      </c>
      <c r="E56" s="911">
        <f>C56-D56</f>
        <v>0</v>
      </c>
      <c r="H56" s="656">
        <f>'Financial Position'!G45</f>
        <v>286085</v>
      </c>
      <c r="I56" s="116">
        <f>H56</f>
        <v>286085</v>
      </c>
      <c r="J56" s="911">
        <f>H56-I56</f>
        <v>0</v>
      </c>
    </row>
    <row r="57" spans="1:10" x14ac:dyDescent="0.2">
      <c r="A57" s="654" t="s">
        <v>41</v>
      </c>
      <c r="B57" s="654" t="s">
        <v>1028</v>
      </c>
      <c r="C57" s="655">
        <v>1238556</v>
      </c>
      <c r="D57" s="655">
        <f>C57</f>
        <v>1238556</v>
      </c>
      <c r="E57" s="911">
        <f>C57-D57</f>
        <v>0</v>
      </c>
      <c r="H57" s="655">
        <f>'Financial Position'!G46</f>
        <v>1009959</v>
      </c>
      <c r="I57" s="655">
        <f>H57</f>
        <v>1009959</v>
      </c>
      <c r="J57" s="911">
        <f>H57-I57</f>
        <v>0</v>
      </c>
    </row>
    <row r="58" spans="1:10" x14ac:dyDescent="0.2">
      <c r="A58" s="660"/>
      <c r="B58" s="670"/>
      <c r="C58" s="670"/>
      <c r="D58" s="670"/>
      <c r="E58" s="914"/>
      <c r="F58" s="670"/>
      <c r="H58" s="670"/>
      <c r="I58" s="670"/>
      <c r="J58" s="914"/>
    </row>
    <row r="59" spans="1:10" x14ac:dyDescent="0.2">
      <c r="A59" s="85" t="s">
        <v>42</v>
      </c>
      <c r="B59" s="85" t="s">
        <v>226</v>
      </c>
      <c r="C59" s="676"/>
      <c r="D59" s="676"/>
      <c r="E59" s="915"/>
      <c r="F59" s="670"/>
      <c r="H59" s="676"/>
      <c r="I59" s="676"/>
      <c r="J59" s="915"/>
    </row>
    <row r="60" spans="1:10" x14ac:dyDescent="0.2">
      <c r="A60" s="89" t="s">
        <v>1027</v>
      </c>
      <c r="B60" s="89" t="s">
        <v>1696</v>
      </c>
      <c r="C60" s="656">
        <f>'Financial Position'!D49</f>
        <v>12500</v>
      </c>
      <c r="D60" s="656">
        <f>C60-253</f>
        <v>12247</v>
      </c>
      <c r="E60" s="839">
        <f>C60-D60</f>
        <v>253</v>
      </c>
      <c r="H60" s="656" t="str">
        <f>'Financial Position'!G49</f>
        <v>‒</v>
      </c>
      <c r="I60" s="656" t="str">
        <f>H60</f>
        <v>‒</v>
      </c>
      <c r="J60" s="911">
        <f>SUM(G60:I60)</f>
        <v>0</v>
      </c>
    </row>
    <row r="61" spans="1:10" x14ac:dyDescent="0.2">
      <c r="A61" s="89" t="s">
        <v>999</v>
      </c>
      <c r="B61" s="89" t="s">
        <v>1003</v>
      </c>
      <c r="C61" s="656">
        <f>'Financial Position'!D50</f>
        <v>31728</v>
      </c>
      <c r="D61" s="656">
        <f>C61</f>
        <v>31728</v>
      </c>
      <c r="E61" s="911">
        <f>C61-D61</f>
        <v>0</v>
      </c>
      <c r="H61" s="656">
        <f>'Financial Position'!G50</f>
        <v>29358</v>
      </c>
      <c r="I61" s="656">
        <f>H61</f>
        <v>29358</v>
      </c>
      <c r="J61" s="911">
        <f>H61-I61</f>
        <v>0</v>
      </c>
    </row>
    <row r="62" spans="1:10" x14ac:dyDescent="0.2">
      <c r="A62" s="654" t="s">
        <v>45</v>
      </c>
      <c r="B62" s="654" t="s">
        <v>229</v>
      </c>
      <c r="C62" s="655">
        <f>'Financial Position'!D54</f>
        <v>330278</v>
      </c>
      <c r="D62" s="655">
        <f>C62-253</f>
        <v>330025</v>
      </c>
      <c r="E62" s="905">
        <f>C62-D62</f>
        <v>253</v>
      </c>
      <c r="H62" s="655">
        <f>'Financial Position'!G54</f>
        <v>256603</v>
      </c>
      <c r="I62" s="655">
        <f>H62</f>
        <v>256603</v>
      </c>
      <c r="J62" s="911">
        <f>H62-I62</f>
        <v>0</v>
      </c>
    </row>
    <row r="63" spans="1:10" ht="12" thickBot="1" x14ac:dyDescent="0.25">
      <c r="A63" s="442" t="s">
        <v>46</v>
      </c>
      <c r="B63" s="442" t="s">
        <v>230</v>
      </c>
      <c r="C63" s="213">
        <f>'Financial Position'!D55</f>
        <v>4415725</v>
      </c>
      <c r="D63" s="213">
        <f>C63-253</f>
        <v>4415472</v>
      </c>
      <c r="E63" s="916">
        <f>C63-D63</f>
        <v>253</v>
      </c>
      <c r="H63" s="213">
        <f>'Financial Position'!G55</f>
        <v>3649200</v>
      </c>
      <c r="I63" s="213">
        <f>H63</f>
        <v>3649200</v>
      </c>
      <c r="J63" s="1081">
        <f>H63-I63</f>
        <v>0</v>
      </c>
    </row>
    <row r="64" spans="1:10" x14ac:dyDescent="0.2">
      <c r="A64" s="665"/>
      <c r="B64" s="665"/>
    </row>
    <row r="65" spans="1:10" ht="15.75" thickBot="1" x14ac:dyDescent="0.25">
      <c r="A65" s="665"/>
      <c r="B65" s="665"/>
      <c r="E65" s="716"/>
      <c r="J65" s="716" t="s">
        <v>51</v>
      </c>
    </row>
    <row r="66" spans="1:10" ht="15.75" thickBot="1" x14ac:dyDescent="0.25">
      <c r="A66" s="771"/>
      <c r="B66" s="772"/>
      <c r="C66" s="1493" t="str">
        <f>C37</f>
        <v>Koncerns/Group</v>
      </c>
      <c r="D66" s="1493"/>
      <c r="E66" s="1493"/>
      <c r="H66" s="1493" t="str">
        <f>H37</f>
        <v>Mātessabiedrība/Parent Company</v>
      </c>
      <c r="I66" s="1493"/>
      <c r="J66" s="1493"/>
    </row>
    <row r="67" spans="1:10" ht="27" customHeight="1" thickBot="1" x14ac:dyDescent="0.25">
      <c r="A67" s="425" t="s">
        <v>1034</v>
      </c>
      <c r="B67" s="425" t="s">
        <v>1035</v>
      </c>
      <c r="C67" s="1492" t="s">
        <v>1371</v>
      </c>
      <c r="D67" s="1492"/>
      <c r="E67" s="1492"/>
      <c r="H67" s="1492" t="s">
        <v>1371</v>
      </c>
      <c r="I67" s="1492"/>
      <c r="J67" s="1492"/>
    </row>
    <row r="68" spans="1:10" ht="27" customHeight="1" thickBot="1" x14ac:dyDescent="0.25">
      <c r="A68" s="1489" t="s">
        <v>1036</v>
      </c>
      <c r="B68" s="1489" t="s">
        <v>1037</v>
      </c>
      <c r="C68" s="1436" t="s">
        <v>1697</v>
      </c>
      <c r="D68" s="1436" t="s">
        <v>1698</v>
      </c>
      <c r="E68" s="909" t="s">
        <v>1699</v>
      </c>
      <c r="H68" s="1436" t="s">
        <v>1697</v>
      </c>
      <c r="I68" s="1436" t="s">
        <v>1698</v>
      </c>
      <c r="J68" s="909" t="s">
        <v>1699</v>
      </c>
    </row>
    <row r="69" spans="1:10" ht="23.25" thickBot="1" x14ac:dyDescent="0.25">
      <c r="A69" s="1490"/>
      <c r="B69" s="1490"/>
      <c r="C69" s="672" t="s">
        <v>1031</v>
      </c>
      <c r="D69" s="672" t="s">
        <v>1032</v>
      </c>
      <c r="E69" s="909" t="s">
        <v>1038</v>
      </c>
      <c r="H69" s="672" t="s">
        <v>1031</v>
      </c>
      <c r="I69" s="672" t="s">
        <v>1032</v>
      </c>
      <c r="J69" s="909" t="s">
        <v>1038</v>
      </c>
    </row>
    <row r="70" spans="1:10" x14ac:dyDescent="0.2">
      <c r="A70" s="646"/>
      <c r="B70" s="646"/>
      <c r="C70" s="664"/>
      <c r="D70" s="650"/>
      <c r="E70" s="910"/>
      <c r="H70" s="664"/>
      <c r="I70" s="650"/>
      <c r="J70" s="910"/>
    </row>
    <row r="71" spans="1:10" x14ac:dyDescent="0.2">
      <c r="A71" s="2" t="s">
        <v>2</v>
      </c>
      <c r="B71" s="2" t="s">
        <v>194</v>
      </c>
      <c r="C71" s="667">
        <f>'Profit or Loss'!D8</f>
        <v>925627</v>
      </c>
      <c r="D71" s="667">
        <f>C71+243</f>
        <v>925870</v>
      </c>
      <c r="E71" s="867">
        <f>C71-D71</f>
        <v>-243</v>
      </c>
      <c r="H71" s="667">
        <f>'Profit or Loss'!G8</f>
        <v>498580</v>
      </c>
      <c r="I71" s="667">
        <f>H71</f>
        <v>498580</v>
      </c>
      <c r="J71" s="915">
        <f>H71-I71</f>
        <v>0</v>
      </c>
    </row>
    <row r="72" spans="1:10" x14ac:dyDescent="0.2">
      <c r="A72" s="89" t="s">
        <v>737</v>
      </c>
      <c r="B72" s="89" t="s">
        <v>278</v>
      </c>
      <c r="C72" s="656">
        <v>301874</v>
      </c>
      <c r="D72" s="656">
        <f>C72+243</f>
        <v>302117</v>
      </c>
      <c r="E72" s="839">
        <f>C72-D72</f>
        <v>-243</v>
      </c>
      <c r="H72" s="652">
        <f>'Financial Position'!G60</f>
        <v>0</v>
      </c>
      <c r="I72" s="652">
        <v>0</v>
      </c>
      <c r="J72" s="911">
        <f>H72-I72</f>
        <v>0</v>
      </c>
    </row>
    <row r="73" spans="1:10" ht="12" thickBot="1" x14ac:dyDescent="0.25">
      <c r="A73" s="442" t="s">
        <v>1039</v>
      </c>
      <c r="B73" s="442" t="s">
        <v>1040</v>
      </c>
      <c r="C73" s="213">
        <f>'Profit or Loss'!D21</f>
        <v>322021</v>
      </c>
      <c r="D73" s="213">
        <f>C73+243</f>
        <v>322264</v>
      </c>
      <c r="E73" s="916">
        <f>C73-D73</f>
        <v>-243</v>
      </c>
      <c r="H73" s="213">
        <f>'Profit or Loss'!G21</f>
        <v>150891</v>
      </c>
      <c r="I73" s="213">
        <f>H73</f>
        <v>150891</v>
      </c>
      <c r="J73" s="1081">
        <f>H73-I73</f>
        <v>0</v>
      </c>
    </row>
  </sheetData>
  <sheetProtection algorithmName="SHA-512" hashValue="lgJtmdc6LoZPV80HMxbVtWcCiaDcN0BbE2E6VHrd3qEd1ayrfs5Enj8lKVwP/r58r2QK0iDpXfqw9Ksm8BqRDg==" saltValue="YSWPTaugvpzbip7ueCFjYA==" spinCount="100000" sheet="1" objects="1" scenarios="1"/>
  <mergeCells count="16">
    <mergeCell ref="C38:E38"/>
    <mergeCell ref="C67:E67"/>
    <mergeCell ref="C8:F8"/>
    <mergeCell ref="H8:K8"/>
    <mergeCell ref="H38:J38"/>
    <mergeCell ref="C37:E37"/>
    <mergeCell ref="H37:J37"/>
    <mergeCell ref="C66:E66"/>
    <mergeCell ref="H66:J66"/>
    <mergeCell ref="H67:J67"/>
    <mergeCell ref="B68:B69"/>
    <mergeCell ref="A68:A69"/>
    <mergeCell ref="B39:B40"/>
    <mergeCell ref="A39:A40"/>
    <mergeCell ref="B8:B10"/>
    <mergeCell ref="A8:A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08"/>
  <sheetViews>
    <sheetView showGridLines="0" zoomScaleNormal="100" workbookViewId="0">
      <pane ySplit="4" topLeftCell="A5" activePane="bottomLeft" state="frozen"/>
      <selection pane="bottomLeft" activeCell="A5" sqref="A5"/>
    </sheetView>
  </sheetViews>
  <sheetFormatPr defaultColWidth="9.140625" defaultRowHeight="15" outlineLevelCol="1" x14ac:dyDescent="0.25"/>
  <cols>
    <col min="1" max="1" width="54.140625" style="28" customWidth="1"/>
    <col min="2" max="2" width="48.5703125" style="28" customWidth="1" outlineLevel="1"/>
    <col min="3" max="3" width="12" style="28" customWidth="1" outlineLevel="1"/>
    <col min="4" max="5" width="10.42578125" style="28" customWidth="1"/>
    <col min="6" max="6" width="12.85546875" style="28" customWidth="1"/>
    <col min="7" max="7" width="11.7109375" style="28" customWidth="1"/>
    <col min="8" max="8" width="10.42578125" style="28" customWidth="1"/>
    <col min="9" max="12" width="12.5703125" style="28" customWidth="1"/>
    <col min="13" max="16384" width="9.140625" style="28"/>
  </cols>
  <sheetData>
    <row r="1" spans="1:12" x14ac:dyDescent="0.25">
      <c r="A1" s="27" t="str">
        <f>'Key Figures'!A1</f>
        <v>LATVENERGO KONCERNA KONSOLIDĒTIE un</v>
      </c>
      <c r="B1" s="27" t="str">
        <f>'Key Figures'!B1</f>
        <v>LATVENERGO GROUP CONSOLIDATED and</v>
      </c>
      <c r="C1" s="27"/>
    </row>
    <row r="2" spans="1:12" x14ac:dyDescent="0.25">
      <c r="A2" s="27" t="str">
        <f>'Key Figures'!A2</f>
        <v>AS „LATVENERGO” 2017. GADA FINANŠU PĀRSKATI</v>
      </c>
      <c r="B2" s="27" t="str">
        <f>'Key Figures'!B2</f>
        <v>LATVENERGO AS FINANCIAL STATEMENTS 2017</v>
      </c>
      <c r="G2" s="98"/>
    </row>
    <row r="3" spans="1:12" ht="18" x14ac:dyDescent="0.25">
      <c r="A3" s="1259" t="s">
        <v>990</v>
      </c>
      <c r="B3" s="1259" t="s">
        <v>340</v>
      </c>
      <c r="G3" s="98"/>
    </row>
    <row r="4" spans="1:12" ht="18.75" x14ac:dyDescent="0.25">
      <c r="B4" s="51"/>
      <c r="C4" s="51"/>
      <c r="G4" s="98"/>
    </row>
    <row r="5" spans="1:12" x14ac:dyDescent="0.25">
      <c r="G5" s="98"/>
    </row>
    <row r="6" spans="1:12" x14ac:dyDescent="0.25">
      <c r="A6" s="13" t="s">
        <v>778</v>
      </c>
      <c r="B6" s="13" t="s">
        <v>779</v>
      </c>
      <c r="C6" s="12"/>
      <c r="G6" s="98"/>
    </row>
    <row r="7" spans="1:12" ht="15.75" thickBot="1" x14ac:dyDescent="0.3">
      <c r="A7" s="13"/>
      <c r="B7" s="13"/>
      <c r="C7" s="12"/>
      <c r="G7" s="98"/>
      <c r="L7" s="122" t="str">
        <f>'Changes in Equity'!I6</f>
        <v>EUR'000</v>
      </c>
    </row>
    <row r="8" spans="1:12" ht="15.75" thickBot="1" x14ac:dyDescent="0.3">
      <c r="A8" s="349"/>
      <c r="B8" s="349"/>
      <c r="C8" s="1495" t="s">
        <v>0</v>
      </c>
      <c r="D8" s="1493" t="s">
        <v>949</v>
      </c>
      <c r="E8" s="1493"/>
      <c r="F8" s="1493"/>
      <c r="G8" s="1493"/>
      <c r="I8" s="1493" t="s">
        <v>1403</v>
      </c>
      <c r="J8" s="1493"/>
      <c r="K8" s="1493"/>
      <c r="L8" s="1493"/>
    </row>
    <row r="9" spans="1:12" ht="54" customHeight="1" thickBot="1" x14ac:dyDescent="0.3">
      <c r="A9" s="330"/>
      <c r="B9" s="330"/>
      <c r="C9" s="1496"/>
      <c r="D9" s="351" t="s">
        <v>338</v>
      </c>
      <c r="E9" s="351" t="s">
        <v>339</v>
      </c>
      <c r="F9" s="351" t="s">
        <v>862</v>
      </c>
      <c r="G9" s="351" t="s">
        <v>21</v>
      </c>
      <c r="H9" s="52"/>
      <c r="I9" s="351" t="s">
        <v>338</v>
      </c>
      <c r="J9" s="351" t="s">
        <v>339</v>
      </c>
      <c r="K9" s="351" t="s">
        <v>862</v>
      </c>
      <c r="L9" s="351" t="s">
        <v>21</v>
      </c>
    </row>
    <row r="10" spans="1:12" ht="34.5" customHeight="1" thickBot="1" x14ac:dyDescent="0.3">
      <c r="A10" s="346"/>
      <c r="B10" s="346"/>
      <c r="C10" s="350" t="s">
        <v>465</v>
      </c>
      <c r="D10" s="350" t="s">
        <v>357</v>
      </c>
      <c r="E10" s="350" t="s">
        <v>358</v>
      </c>
      <c r="F10" s="350" t="s">
        <v>821</v>
      </c>
      <c r="G10" s="350" t="s">
        <v>1571</v>
      </c>
      <c r="H10" s="52"/>
      <c r="I10" s="350" t="s">
        <v>357</v>
      </c>
      <c r="J10" s="350" t="s">
        <v>358</v>
      </c>
      <c r="K10" s="350" t="s">
        <v>821</v>
      </c>
      <c r="L10" s="350" t="s">
        <v>1571</v>
      </c>
    </row>
    <row r="11" spans="1:12" x14ac:dyDescent="0.25">
      <c r="A11" s="330"/>
      <c r="B11" s="330"/>
      <c r="C11" s="102"/>
      <c r="D11" s="102"/>
      <c r="E11" s="102"/>
      <c r="F11" s="102"/>
      <c r="G11" s="102"/>
      <c r="H11" s="52"/>
      <c r="I11" s="102"/>
      <c r="J11" s="102"/>
      <c r="K11" s="102"/>
      <c r="L11" s="102"/>
    </row>
    <row r="12" spans="1:12" x14ac:dyDescent="0.25">
      <c r="A12" s="330" t="s">
        <v>958</v>
      </c>
      <c r="B12" s="330" t="s">
        <v>959</v>
      </c>
      <c r="C12" s="331"/>
      <c r="D12" s="95"/>
      <c r="E12" s="95"/>
      <c r="F12" s="95"/>
      <c r="G12" s="95"/>
      <c r="H12" s="52"/>
      <c r="I12" s="95"/>
      <c r="J12" s="95"/>
      <c r="K12" s="95"/>
      <c r="L12" s="95"/>
    </row>
    <row r="13" spans="1:12" x14ac:dyDescent="0.25">
      <c r="A13" s="248" t="s">
        <v>1020</v>
      </c>
      <c r="B13" s="248" t="s">
        <v>1021</v>
      </c>
      <c r="C13" s="246" t="s">
        <v>692</v>
      </c>
      <c r="D13" s="184">
        <f>'Notes 17-18'!C26</f>
        <v>105369</v>
      </c>
      <c r="E13" s="347" t="s">
        <v>625</v>
      </c>
      <c r="F13" s="347" t="s">
        <v>625</v>
      </c>
      <c r="G13" s="347" t="s">
        <v>625</v>
      </c>
      <c r="H13" s="52"/>
      <c r="I13" s="184">
        <f>'Notes 17-18'!F26</f>
        <v>82799</v>
      </c>
      <c r="J13" s="347" t="s">
        <v>625</v>
      </c>
      <c r="K13" s="347" t="s">
        <v>625</v>
      </c>
      <c r="L13" s="347" t="s">
        <v>625</v>
      </c>
    </row>
    <row r="14" spans="1:12" x14ac:dyDescent="0.25">
      <c r="A14" s="248" t="s">
        <v>904</v>
      </c>
      <c r="B14" s="248" t="s">
        <v>906</v>
      </c>
      <c r="C14" s="246" t="s">
        <v>693</v>
      </c>
      <c r="D14" s="184">
        <f>'Notes 17-18'!C132-'Notes 17-18'!C130-'Notes 17-18'!C129</f>
        <v>641832</v>
      </c>
      <c r="E14" s="347" t="s">
        <v>625</v>
      </c>
      <c r="F14" s="347" t="s">
        <v>625</v>
      </c>
      <c r="G14" s="347" t="s">
        <v>625</v>
      </c>
      <c r="H14" s="52"/>
      <c r="I14" s="184">
        <f>'Notes 17-18'!F132-'Notes 17-18'!F130-'Notes 17-18'!F129</f>
        <v>17938</v>
      </c>
      <c r="J14" s="347" t="s">
        <v>625</v>
      </c>
      <c r="K14" s="347" t="s">
        <v>625</v>
      </c>
      <c r="L14" s="347" t="s">
        <v>625</v>
      </c>
    </row>
    <row r="15" spans="1:12" x14ac:dyDescent="0.25">
      <c r="A15" s="248" t="s">
        <v>1323</v>
      </c>
      <c r="B15" s="248" t="s">
        <v>1339</v>
      </c>
      <c r="C15" s="246">
        <v>25</v>
      </c>
      <c r="D15" s="347" t="s">
        <v>625</v>
      </c>
      <c r="E15" s="347" t="s">
        <v>625</v>
      </c>
      <c r="F15" s="347" t="s">
        <v>625</v>
      </c>
      <c r="G15" s="347" t="s">
        <v>625</v>
      </c>
      <c r="H15" s="52"/>
      <c r="I15" s="184">
        <f>'Financial Position'!G14+'Financial Position'!G24</f>
        <v>1098781</v>
      </c>
      <c r="J15" s="347" t="s">
        <v>625</v>
      </c>
      <c r="K15" s="347" t="s">
        <v>625</v>
      </c>
      <c r="L15" s="347" t="s">
        <v>625</v>
      </c>
    </row>
    <row r="16" spans="1:12" x14ac:dyDescent="0.25">
      <c r="A16" s="248" t="s">
        <v>20</v>
      </c>
      <c r="B16" s="248" t="s">
        <v>695</v>
      </c>
      <c r="C16" s="246"/>
      <c r="D16" s="184">
        <f>'Financial Position'!D15</f>
        <v>3229</v>
      </c>
      <c r="E16" s="347" t="s">
        <v>625</v>
      </c>
      <c r="F16" s="347" t="s">
        <v>625</v>
      </c>
      <c r="G16" s="347" t="s">
        <v>625</v>
      </c>
      <c r="H16" s="52"/>
      <c r="I16" s="184">
        <f>'Financial Position'!G15</f>
        <v>284</v>
      </c>
      <c r="J16" s="347" t="s">
        <v>625</v>
      </c>
      <c r="K16" s="347" t="s">
        <v>625</v>
      </c>
      <c r="L16" s="347" t="s">
        <v>625</v>
      </c>
    </row>
    <row r="17" spans="1:12" x14ac:dyDescent="0.25">
      <c r="A17" s="248" t="s">
        <v>25</v>
      </c>
      <c r="B17" s="248" t="s">
        <v>212</v>
      </c>
      <c r="C17" s="246" t="s">
        <v>622</v>
      </c>
      <c r="D17" s="184" t="s">
        <v>625</v>
      </c>
      <c r="E17" s="1197">
        <f>SUM('Note 4'!E13,'Note 4'!E14)</f>
        <v>4074</v>
      </c>
      <c r="F17" s="1197">
        <f>'Note 4'!E12</f>
        <v>545</v>
      </c>
      <c r="G17" s="347" t="s">
        <v>625</v>
      </c>
      <c r="H17" s="52"/>
      <c r="I17" s="184" t="s">
        <v>625</v>
      </c>
      <c r="J17" s="1197">
        <f>SUM('Note 4'!J13,'Note 4'!J14)</f>
        <v>4074</v>
      </c>
      <c r="K17" s="1197">
        <f>'Note 4'!J12</f>
        <v>545</v>
      </c>
      <c r="L17" s="347" t="s">
        <v>625</v>
      </c>
    </row>
    <row r="18" spans="1:12" x14ac:dyDescent="0.25">
      <c r="A18" s="248" t="s">
        <v>21</v>
      </c>
      <c r="B18" s="248" t="s">
        <v>677</v>
      </c>
      <c r="C18" s="246" t="s">
        <v>678</v>
      </c>
      <c r="D18" s="347" t="s">
        <v>625</v>
      </c>
      <c r="E18" s="347" t="s">
        <v>625</v>
      </c>
      <c r="F18" s="184" t="s">
        <v>625</v>
      </c>
      <c r="G18" s="184">
        <f>'Notes 20-21'!C47</f>
        <v>16984.373150000007</v>
      </c>
      <c r="H18" s="52"/>
      <c r="I18" s="347" t="s">
        <v>625</v>
      </c>
      <c r="J18" s="347" t="s">
        <v>625</v>
      </c>
      <c r="K18" s="184" t="s">
        <v>625</v>
      </c>
      <c r="L18" s="184">
        <f>'Notes 20-21'!F47</f>
        <v>16984.373150000007</v>
      </c>
    </row>
    <row r="19" spans="1:12" ht="15.75" thickBot="1" x14ac:dyDescent="0.3">
      <c r="A19" s="253" t="s">
        <v>26</v>
      </c>
      <c r="B19" s="253" t="s">
        <v>213</v>
      </c>
      <c r="C19" s="254">
        <v>18</v>
      </c>
      <c r="D19" s="201">
        <f>'Financial Position'!D27</f>
        <v>236003</v>
      </c>
      <c r="E19" s="352" t="s">
        <v>625</v>
      </c>
      <c r="F19" s="352" t="s">
        <v>625</v>
      </c>
      <c r="G19" s="352" t="s">
        <v>625</v>
      </c>
      <c r="H19" s="52"/>
      <c r="I19" s="201">
        <f>'Financial Position'!G27</f>
        <v>232855</v>
      </c>
      <c r="J19" s="352" t="s">
        <v>625</v>
      </c>
      <c r="K19" s="352" t="s">
        <v>625</v>
      </c>
      <c r="L19" s="352" t="s">
        <v>625</v>
      </c>
    </row>
    <row r="20" spans="1:12" ht="15.75" thickBot="1" x14ac:dyDescent="0.3">
      <c r="A20" s="353"/>
      <c r="B20" s="353"/>
      <c r="C20" s="354"/>
      <c r="D20" s="272">
        <f>SUM(D13:D19)</f>
        <v>986433</v>
      </c>
      <c r="E20" s="272">
        <f t="shared" ref="E20:G20" si="0">SUM(E13:E19)</f>
        <v>4074</v>
      </c>
      <c r="F20" s="272">
        <f t="shared" si="0"/>
        <v>545</v>
      </c>
      <c r="G20" s="272">
        <f t="shared" si="0"/>
        <v>16984.373150000007</v>
      </c>
      <c r="H20" s="52"/>
      <c r="I20" s="272">
        <f t="shared" ref="I20:L20" si="1">SUM(I13:I19)</f>
        <v>1432657</v>
      </c>
      <c r="J20" s="272">
        <f t="shared" si="1"/>
        <v>4074</v>
      </c>
      <c r="K20" s="272">
        <f t="shared" si="1"/>
        <v>545</v>
      </c>
      <c r="L20" s="272">
        <f t="shared" si="1"/>
        <v>16984.373150000007</v>
      </c>
    </row>
    <row r="21" spans="1:12" x14ac:dyDescent="0.25">
      <c r="A21" s="312"/>
      <c r="B21" s="312"/>
      <c r="C21" s="543"/>
      <c r="D21" s="101"/>
      <c r="E21" s="101"/>
      <c r="F21" s="101"/>
      <c r="G21" s="101"/>
      <c r="H21" s="52"/>
      <c r="I21" s="101"/>
      <c r="J21" s="101"/>
      <c r="K21" s="101"/>
      <c r="L21" s="101"/>
    </row>
    <row r="22" spans="1:12" x14ac:dyDescent="0.25">
      <c r="A22" s="214" t="s">
        <v>804</v>
      </c>
      <c r="B22" s="214" t="s">
        <v>805</v>
      </c>
      <c r="C22" s="215"/>
      <c r="D22" s="605"/>
      <c r="E22" s="605"/>
      <c r="F22" s="605"/>
      <c r="G22" s="605"/>
      <c r="H22" s="52"/>
      <c r="I22" s="605"/>
      <c r="J22" s="605"/>
      <c r="K22" s="605"/>
      <c r="L22" s="605"/>
    </row>
    <row r="23" spans="1:12" x14ac:dyDescent="0.25">
      <c r="A23" s="248" t="s">
        <v>1020</v>
      </c>
      <c r="B23" s="248" t="s">
        <v>1021</v>
      </c>
      <c r="C23" s="246" t="s">
        <v>692</v>
      </c>
      <c r="D23" s="184">
        <f>'Notes 17-18'!D26</f>
        <v>118925</v>
      </c>
      <c r="E23" s="347" t="s">
        <v>625</v>
      </c>
      <c r="F23" s="347" t="s">
        <v>625</v>
      </c>
      <c r="G23" s="347" t="s">
        <v>625</v>
      </c>
      <c r="H23" s="52"/>
      <c r="I23" s="184">
        <f>'Notes 17-18'!G26</f>
        <v>102056</v>
      </c>
      <c r="J23" s="347" t="s">
        <v>625</v>
      </c>
      <c r="K23" s="347" t="s">
        <v>625</v>
      </c>
      <c r="L23" s="347" t="s">
        <v>625</v>
      </c>
    </row>
    <row r="24" spans="1:12" x14ac:dyDescent="0.25">
      <c r="A24" s="248" t="s">
        <v>904</v>
      </c>
      <c r="B24" s="248" t="s">
        <v>906</v>
      </c>
      <c r="C24" s="246" t="s">
        <v>693</v>
      </c>
      <c r="D24" s="184">
        <f>'Notes 17-18'!D132-'Notes 17-18'!D130-'Notes 17-18'!D129</f>
        <v>149861</v>
      </c>
      <c r="E24" s="347" t="s">
        <v>625</v>
      </c>
      <c r="F24" s="347" t="s">
        <v>625</v>
      </c>
      <c r="G24" s="347" t="s">
        <v>625</v>
      </c>
      <c r="H24" s="52"/>
      <c r="I24" s="184">
        <f>'Notes 17-18'!G132-'Notes 17-18'!G130-'Notes 17-18'!G129</f>
        <v>11436</v>
      </c>
      <c r="J24" s="347" t="s">
        <v>625</v>
      </c>
      <c r="K24" s="347" t="s">
        <v>625</v>
      </c>
      <c r="L24" s="347" t="s">
        <v>625</v>
      </c>
    </row>
    <row r="25" spans="1:12" x14ac:dyDescent="0.25">
      <c r="A25" s="248" t="s">
        <v>1323</v>
      </c>
      <c r="B25" s="248" t="s">
        <v>1339</v>
      </c>
      <c r="C25" s="246">
        <v>25</v>
      </c>
      <c r="D25" s="347" t="s">
        <v>625</v>
      </c>
      <c r="E25" s="347" t="s">
        <v>625</v>
      </c>
      <c r="F25" s="347" t="s">
        <v>625</v>
      </c>
      <c r="G25" s="347" t="s">
        <v>625</v>
      </c>
      <c r="H25" s="52"/>
      <c r="I25" s="184">
        <v>622704</v>
      </c>
      <c r="J25" s="347" t="s">
        <v>625</v>
      </c>
      <c r="K25" s="347" t="s">
        <v>625</v>
      </c>
      <c r="L25" s="347" t="s">
        <v>625</v>
      </c>
    </row>
    <row r="26" spans="1:12" x14ac:dyDescent="0.25">
      <c r="A26" s="248" t="s">
        <v>20</v>
      </c>
      <c r="B26" s="248" t="s">
        <v>695</v>
      </c>
      <c r="C26" s="246"/>
      <c r="D26" s="184">
        <f>'Financial Position'!E15</f>
        <v>986</v>
      </c>
      <c r="E26" s="347" t="s">
        <v>625</v>
      </c>
      <c r="F26" s="347" t="s">
        <v>625</v>
      </c>
      <c r="G26" s="347" t="s">
        <v>625</v>
      </c>
      <c r="H26" s="52"/>
      <c r="I26" s="116">
        <f>'Financial Position'!H15</f>
        <v>978</v>
      </c>
      <c r="J26" s="347" t="s">
        <v>625</v>
      </c>
      <c r="K26" s="347" t="s">
        <v>625</v>
      </c>
      <c r="L26" s="347" t="s">
        <v>625</v>
      </c>
    </row>
    <row r="27" spans="1:12" x14ac:dyDescent="0.25">
      <c r="A27" s="248" t="s">
        <v>25</v>
      </c>
      <c r="B27" s="248" t="s">
        <v>212</v>
      </c>
      <c r="C27" s="246" t="s">
        <v>622</v>
      </c>
      <c r="D27" s="184" t="s">
        <v>625</v>
      </c>
      <c r="E27" s="348">
        <f>'Note 4'!E30</f>
        <v>2154</v>
      </c>
      <c r="F27" s="348">
        <f>'Note 4'!E29</f>
        <v>3980</v>
      </c>
      <c r="G27" s="347" t="s">
        <v>625</v>
      </c>
      <c r="H27" s="52"/>
      <c r="I27" s="184" t="s">
        <v>625</v>
      </c>
      <c r="J27" s="348">
        <f>'Note 4'!J30</f>
        <v>2154</v>
      </c>
      <c r="K27" s="348">
        <f>'Note 4'!J29</f>
        <v>3980</v>
      </c>
      <c r="L27" s="347" t="s">
        <v>625</v>
      </c>
    </row>
    <row r="28" spans="1:12" x14ac:dyDescent="0.25">
      <c r="A28" s="248" t="s">
        <v>21</v>
      </c>
      <c r="B28" s="248" t="s">
        <v>677</v>
      </c>
      <c r="C28" s="246" t="s">
        <v>678</v>
      </c>
      <c r="D28" s="347" t="s">
        <v>625</v>
      </c>
      <c r="E28" s="347" t="s">
        <v>625</v>
      </c>
      <c r="F28" s="184" t="s">
        <v>625</v>
      </c>
      <c r="G28" s="184">
        <f>'Notes 20-21'!D47</f>
        <v>20554</v>
      </c>
      <c r="H28" s="52"/>
      <c r="I28" s="347" t="s">
        <v>625</v>
      </c>
      <c r="J28" s="347" t="s">
        <v>625</v>
      </c>
      <c r="K28" s="184" t="s">
        <v>625</v>
      </c>
      <c r="L28" s="184">
        <f>'Notes 20-21'!G47</f>
        <v>20554</v>
      </c>
    </row>
    <row r="29" spans="1:12" ht="15.75" thickBot="1" x14ac:dyDescent="0.3">
      <c r="A29" s="253" t="s">
        <v>26</v>
      </c>
      <c r="B29" s="253" t="s">
        <v>213</v>
      </c>
      <c r="C29" s="254">
        <v>18</v>
      </c>
      <c r="D29" s="201">
        <f>'Financial Position'!E27</f>
        <v>183980</v>
      </c>
      <c r="E29" s="352" t="s">
        <v>625</v>
      </c>
      <c r="F29" s="352" t="s">
        <v>625</v>
      </c>
      <c r="G29" s="352" t="s">
        <v>625</v>
      </c>
      <c r="H29" s="52"/>
      <c r="I29" s="201">
        <f>'Financial Position'!H27</f>
        <v>181197</v>
      </c>
      <c r="J29" s="352" t="s">
        <v>625</v>
      </c>
      <c r="K29" s="352" t="s">
        <v>625</v>
      </c>
      <c r="L29" s="352" t="s">
        <v>625</v>
      </c>
    </row>
    <row r="30" spans="1:12" ht="15.75" thickBot="1" x14ac:dyDescent="0.3">
      <c r="A30" s="353"/>
      <c r="B30" s="353"/>
      <c r="C30" s="354"/>
      <c r="D30" s="272">
        <f>SUM(D23:D29)</f>
        <v>453752</v>
      </c>
      <c r="E30" s="272">
        <f t="shared" ref="E30:G30" si="2">SUM(E23:E29)</f>
        <v>2154</v>
      </c>
      <c r="F30" s="272">
        <f t="shared" si="2"/>
        <v>3980</v>
      </c>
      <c r="G30" s="272">
        <f t="shared" si="2"/>
        <v>20554</v>
      </c>
      <c r="H30" s="52"/>
      <c r="I30" s="272">
        <f>SUM(I23:I29)</f>
        <v>918371</v>
      </c>
      <c r="J30" s="272">
        <f t="shared" ref="J30" si="3">SUM(J23:J29)</f>
        <v>2154</v>
      </c>
      <c r="K30" s="272">
        <f t="shared" ref="K30" si="4">SUM(K23:K29)</f>
        <v>3980</v>
      </c>
      <c r="L30" s="272">
        <f t="shared" ref="L30" si="5">SUM(L23:L29)</f>
        <v>20554</v>
      </c>
    </row>
    <row r="31" spans="1:12" x14ac:dyDescent="0.25">
      <c r="G31" s="98"/>
    </row>
    <row r="32" spans="1:12" x14ac:dyDescent="0.25">
      <c r="A32" s="13" t="s">
        <v>780</v>
      </c>
      <c r="B32" s="13" t="s">
        <v>781</v>
      </c>
      <c r="G32" s="98"/>
    </row>
    <row r="33" spans="1:10" ht="15.75" thickBot="1" x14ac:dyDescent="0.3">
      <c r="A33" s="13"/>
      <c r="B33" s="13"/>
      <c r="G33" s="98"/>
      <c r="J33" s="356" t="str">
        <f>L7</f>
        <v>EUR'000</v>
      </c>
    </row>
    <row r="34" spans="1:10" ht="15.75" thickBot="1" x14ac:dyDescent="0.3">
      <c r="A34" s="357"/>
      <c r="B34" s="357"/>
      <c r="C34" s="1495" t="s">
        <v>0</v>
      </c>
      <c r="D34" s="1493" t="s">
        <v>949</v>
      </c>
      <c r="E34" s="1493"/>
      <c r="F34" s="1493"/>
      <c r="G34" s="98"/>
      <c r="H34" s="1493" t="s">
        <v>1403</v>
      </c>
      <c r="I34" s="1493"/>
      <c r="J34" s="1493"/>
    </row>
    <row r="35" spans="1:10" ht="54.75" thickBot="1" x14ac:dyDescent="0.3">
      <c r="A35" s="359"/>
      <c r="B35" s="359"/>
      <c r="C35" s="1496"/>
      <c r="D35" s="351" t="s">
        <v>339</v>
      </c>
      <c r="E35" s="351" t="s">
        <v>341</v>
      </c>
      <c r="F35" s="351" t="s">
        <v>342</v>
      </c>
      <c r="G35" s="102"/>
      <c r="H35" s="351" t="s">
        <v>339</v>
      </c>
      <c r="I35" s="351" t="s">
        <v>341</v>
      </c>
      <c r="J35" s="351" t="s">
        <v>342</v>
      </c>
    </row>
    <row r="36" spans="1:10" ht="45.75" thickBot="1" x14ac:dyDescent="0.3">
      <c r="A36" s="359"/>
      <c r="B36" s="359"/>
      <c r="C36" s="351" t="s">
        <v>465</v>
      </c>
      <c r="D36" s="358" t="s">
        <v>358</v>
      </c>
      <c r="E36" s="358" t="s">
        <v>366</v>
      </c>
      <c r="F36" s="358" t="s">
        <v>863</v>
      </c>
      <c r="G36" s="103"/>
      <c r="H36" s="358" t="s">
        <v>358</v>
      </c>
      <c r="I36" s="358" t="s">
        <v>366</v>
      </c>
      <c r="J36" s="358" t="s">
        <v>863</v>
      </c>
    </row>
    <row r="37" spans="1:10" x14ac:dyDescent="0.25">
      <c r="A37" s="95"/>
      <c r="B37" s="95"/>
      <c r="C37" s="95"/>
      <c r="D37" s="95"/>
      <c r="E37" s="95"/>
      <c r="F37" s="95"/>
      <c r="G37" s="95"/>
      <c r="H37" s="95"/>
      <c r="I37" s="95"/>
      <c r="J37" s="95"/>
    </row>
    <row r="38" spans="1:10" x14ac:dyDescent="0.25">
      <c r="A38" s="330" t="s">
        <v>960</v>
      </c>
      <c r="B38" s="330" t="s">
        <v>961</v>
      </c>
      <c r="C38" s="331"/>
      <c r="D38" s="99"/>
      <c r="E38" s="99"/>
      <c r="F38" s="99"/>
      <c r="G38" s="99"/>
      <c r="H38" s="99"/>
      <c r="I38" s="99"/>
      <c r="J38" s="99"/>
    </row>
    <row r="39" spans="1:10" x14ac:dyDescent="0.25">
      <c r="A39" s="248" t="s">
        <v>38</v>
      </c>
      <c r="B39" s="248" t="s">
        <v>223</v>
      </c>
      <c r="C39" s="246" t="s">
        <v>679</v>
      </c>
      <c r="D39" s="347" t="s">
        <v>625</v>
      </c>
      <c r="E39" s="184">
        <f>'Notes 20-21'!C65</f>
        <v>826757</v>
      </c>
      <c r="F39" s="347" t="s">
        <v>625</v>
      </c>
      <c r="G39" s="100"/>
      <c r="H39" s="347" t="s">
        <v>625</v>
      </c>
      <c r="I39" s="184">
        <f>'Notes 20-21'!F65</f>
        <v>814772</v>
      </c>
      <c r="J39" s="347" t="s">
        <v>625</v>
      </c>
    </row>
    <row r="40" spans="1:10" x14ac:dyDescent="0.25">
      <c r="A40" s="248" t="s">
        <v>25</v>
      </c>
      <c r="B40" s="248" t="s">
        <v>212</v>
      </c>
      <c r="C40" s="246" t="s">
        <v>622</v>
      </c>
      <c r="D40" s="116">
        <v>8061</v>
      </c>
      <c r="E40" s="1082" t="s">
        <v>625</v>
      </c>
      <c r="F40" s="116">
        <v>23</v>
      </c>
      <c r="G40" s="115"/>
      <c r="H40" s="116">
        <v>8061</v>
      </c>
      <c r="I40" s="1082" t="s">
        <v>625</v>
      </c>
      <c r="J40" s="116">
        <v>23</v>
      </c>
    </row>
    <row r="41" spans="1:10" ht="15.75" thickBot="1" x14ac:dyDescent="0.3">
      <c r="A41" s="253" t="s">
        <v>43</v>
      </c>
      <c r="B41" s="253" t="s">
        <v>227</v>
      </c>
      <c r="C41" s="254">
        <v>24</v>
      </c>
      <c r="D41" s="352" t="s">
        <v>625</v>
      </c>
      <c r="E41" s="201">
        <f>'Note 23-24 '!C67</f>
        <v>115742</v>
      </c>
      <c r="F41" s="352" t="s">
        <v>625</v>
      </c>
      <c r="G41" s="100"/>
      <c r="H41" s="352" t="s">
        <v>625</v>
      </c>
      <c r="I41" s="201">
        <f>'Note 23-24 '!F67</f>
        <v>79341</v>
      </c>
      <c r="J41" s="352" t="s">
        <v>625</v>
      </c>
    </row>
    <row r="42" spans="1:10" ht="15.75" thickBot="1" x14ac:dyDescent="0.3">
      <c r="A42" s="273"/>
      <c r="B42" s="273"/>
      <c r="C42" s="1078"/>
      <c r="D42" s="1128">
        <f>SUM(D39:D41)</f>
        <v>8061</v>
      </c>
      <c r="E42" s="272">
        <f t="shared" ref="E42:F42" si="6">SUM(E39:E41)</f>
        <v>942499</v>
      </c>
      <c r="F42" s="1128">
        <f t="shared" si="6"/>
        <v>23</v>
      </c>
      <c r="G42" s="101"/>
      <c r="H42" s="1128">
        <f t="shared" ref="H42" si="7">SUM(H39:H41)</f>
        <v>8061</v>
      </c>
      <c r="I42" s="1128">
        <f t="shared" ref="I42" si="8">SUM(I39:I41)</f>
        <v>894113</v>
      </c>
      <c r="J42" s="1128">
        <f t="shared" ref="J42" si="9">SUM(J39:J41)</f>
        <v>23</v>
      </c>
    </row>
    <row r="43" spans="1:10" x14ac:dyDescent="0.25">
      <c r="A43" s="263"/>
      <c r="B43" s="263"/>
      <c r="C43" s="809"/>
      <c r="D43" s="267"/>
      <c r="E43" s="267"/>
      <c r="F43" s="267"/>
      <c r="G43" s="101"/>
      <c r="H43" s="267"/>
      <c r="I43" s="267"/>
      <c r="J43" s="267"/>
    </row>
    <row r="44" spans="1:10" x14ac:dyDescent="0.25">
      <c r="A44" s="214" t="s">
        <v>806</v>
      </c>
      <c r="B44" s="214" t="s">
        <v>807</v>
      </c>
      <c r="C44" s="215"/>
      <c r="D44" s="363"/>
      <c r="E44" s="363"/>
      <c r="F44" s="363"/>
      <c r="G44" s="99"/>
      <c r="H44" s="363"/>
      <c r="I44" s="363"/>
      <c r="J44" s="363"/>
    </row>
    <row r="45" spans="1:10" x14ac:dyDescent="0.25">
      <c r="A45" s="248" t="s">
        <v>38</v>
      </c>
      <c r="B45" s="248" t="s">
        <v>223</v>
      </c>
      <c r="C45" s="246" t="s">
        <v>679</v>
      </c>
      <c r="D45" s="347" t="s">
        <v>625</v>
      </c>
      <c r="E45" s="184">
        <f>'Notes 20-21'!D65</f>
        <v>791566</v>
      </c>
      <c r="F45" s="347" t="s">
        <v>625</v>
      </c>
      <c r="G45" s="100"/>
      <c r="H45" s="347" t="s">
        <v>625</v>
      </c>
      <c r="I45" s="184">
        <f>'Notes 20-21'!G65</f>
        <v>778323</v>
      </c>
      <c r="J45" s="347" t="s">
        <v>625</v>
      </c>
    </row>
    <row r="46" spans="1:10" x14ac:dyDescent="0.25">
      <c r="A46" s="248" t="s">
        <v>25</v>
      </c>
      <c r="B46" s="248" t="s">
        <v>212</v>
      </c>
      <c r="C46" s="246" t="s">
        <v>622</v>
      </c>
      <c r="D46" s="184">
        <f>'Note 4'!E35</f>
        <v>11563</v>
      </c>
      <c r="E46" s="347" t="s">
        <v>625</v>
      </c>
      <c r="F46" s="184">
        <f>'Note 4'!E34</f>
        <v>23</v>
      </c>
      <c r="G46" s="100"/>
      <c r="H46" s="184">
        <f>'Note 4'!J35</f>
        <v>11563</v>
      </c>
      <c r="I46" s="347" t="s">
        <v>625</v>
      </c>
      <c r="J46" s="184">
        <f>'Note 4'!J34</f>
        <v>23</v>
      </c>
    </row>
    <row r="47" spans="1:10" ht="15.75" thickBot="1" x14ac:dyDescent="0.3">
      <c r="A47" s="253" t="s">
        <v>43</v>
      </c>
      <c r="B47" s="253" t="s">
        <v>227</v>
      </c>
      <c r="C47" s="254">
        <v>24</v>
      </c>
      <c r="D47" s="352" t="s">
        <v>625</v>
      </c>
      <c r="E47" s="201">
        <f>'Note 23-24 '!D67</f>
        <v>88555</v>
      </c>
      <c r="F47" s="352" t="s">
        <v>625</v>
      </c>
      <c r="G47" s="100"/>
      <c r="H47" s="352" t="s">
        <v>625</v>
      </c>
      <c r="I47" s="201">
        <f>'Note 23-24 '!G67</f>
        <v>71197</v>
      </c>
      <c r="J47" s="352" t="s">
        <v>625</v>
      </c>
    </row>
    <row r="48" spans="1:10" ht="15.75" thickBot="1" x14ac:dyDescent="0.3">
      <c r="A48" s="273"/>
      <c r="B48" s="273"/>
      <c r="C48" s="275"/>
      <c r="D48" s="272">
        <f>SUM(D45:D47)</f>
        <v>11563</v>
      </c>
      <c r="E48" s="272">
        <f>SUM(E45:E47)</f>
        <v>880121</v>
      </c>
      <c r="F48" s="272">
        <f t="shared" ref="F48" si="10">SUM(F45:F47)</f>
        <v>23</v>
      </c>
      <c r="G48" s="101"/>
      <c r="H48" s="272">
        <f t="shared" ref="H48:J48" si="11">SUM(H45:H47)</f>
        <v>11563</v>
      </c>
      <c r="I48" s="272">
        <f t="shared" si="11"/>
        <v>849520</v>
      </c>
      <c r="J48" s="272">
        <f t="shared" si="11"/>
        <v>23</v>
      </c>
    </row>
    <row r="49" spans="1:10" x14ac:dyDescent="0.25">
      <c r="G49" s="98"/>
    </row>
    <row r="51" spans="1:10" ht="15" customHeight="1" x14ac:dyDescent="0.25">
      <c r="A51" s="13" t="s">
        <v>343</v>
      </c>
      <c r="B51" s="13" t="s">
        <v>359</v>
      </c>
      <c r="C51" s="13"/>
      <c r="D51" s="53"/>
      <c r="E51" s="53"/>
      <c r="F51" s="93"/>
      <c r="G51" s="93"/>
    </row>
    <row r="52" spans="1:10" ht="15" customHeight="1" thickBot="1" x14ac:dyDescent="0.3">
      <c r="A52" s="13"/>
      <c r="B52" s="13"/>
      <c r="C52" s="13"/>
      <c r="D52" s="53"/>
      <c r="E52" s="53"/>
      <c r="F52" s="93"/>
      <c r="G52" s="93"/>
      <c r="H52" s="356" t="str">
        <f>J33</f>
        <v>EUR'000</v>
      </c>
    </row>
    <row r="53" spans="1:10" ht="23.25" customHeight="1" thickBot="1" x14ac:dyDescent="0.3">
      <c r="A53" s="364"/>
      <c r="B53" s="364"/>
      <c r="C53" s="1497" t="s">
        <v>453</v>
      </c>
      <c r="D53" s="1494" t="s">
        <v>949</v>
      </c>
      <c r="E53" s="1494"/>
      <c r="F53" s="93"/>
      <c r="G53" s="1494" t="s">
        <v>1403</v>
      </c>
      <c r="H53" s="1494"/>
    </row>
    <row r="54" spans="1:10" ht="15.75" thickBot="1" x14ac:dyDescent="0.3">
      <c r="A54" s="312"/>
      <c r="B54" s="312"/>
      <c r="C54" s="1498"/>
      <c r="D54" s="917" t="s">
        <v>957</v>
      </c>
      <c r="E54" s="365" t="s">
        <v>819</v>
      </c>
      <c r="F54" s="360"/>
      <c r="G54" s="917" t="s">
        <v>957</v>
      </c>
      <c r="H54" s="365" t="s">
        <v>819</v>
      </c>
      <c r="J54" s="94"/>
    </row>
    <row r="55" spans="1:10" x14ac:dyDescent="0.25">
      <c r="A55" s="312"/>
      <c r="B55" s="312"/>
      <c r="C55" s="99"/>
      <c r="D55" s="861"/>
      <c r="E55" s="99"/>
      <c r="G55" s="861"/>
      <c r="H55" s="99"/>
      <c r="J55" s="99"/>
    </row>
    <row r="56" spans="1:10" x14ac:dyDescent="0.25">
      <c r="A56" s="248" t="s">
        <v>1020</v>
      </c>
      <c r="B56" s="248" t="s">
        <v>1021</v>
      </c>
      <c r="C56" s="246" t="s">
        <v>692</v>
      </c>
      <c r="D56" s="839">
        <f>'Notes 17-18'!C26</f>
        <v>105369</v>
      </c>
      <c r="E56" s="184">
        <f>'Notes 17-18'!D26</f>
        <v>118925</v>
      </c>
      <c r="G56" s="839">
        <f>'Notes 17-18'!F26</f>
        <v>82799</v>
      </c>
      <c r="H56" s="184">
        <f>'Notes 17-18'!G26</f>
        <v>102056</v>
      </c>
      <c r="J56" s="100"/>
    </row>
    <row r="57" spans="1:10" x14ac:dyDescent="0.25">
      <c r="A57" s="248" t="s">
        <v>1143</v>
      </c>
      <c r="B57" s="248" t="s">
        <v>1144</v>
      </c>
      <c r="C57" s="246" t="s">
        <v>693</v>
      </c>
      <c r="D57" s="839">
        <f>'Notes 17-18'!C122</f>
        <v>3535</v>
      </c>
      <c r="E57" s="184">
        <f>'Notes 17-18'!D122</f>
        <v>3911</v>
      </c>
      <c r="G57" s="839">
        <f>'Notes 17-18'!F122</f>
        <v>2443</v>
      </c>
      <c r="H57" s="184">
        <f>'Notes 17-18'!G122</f>
        <v>2610</v>
      </c>
      <c r="J57" s="100"/>
    </row>
    <row r="58" spans="1:10" x14ac:dyDescent="0.25">
      <c r="A58" s="248" t="s">
        <v>1142</v>
      </c>
      <c r="B58" s="248" t="s">
        <v>1141</v>
      </c>
      <c r="C58" s="246" t="s">
        <v>693</v>
      </c>
      <c r="D58" s="867" t="s">
        <v>625</v>
      </c>
      <c r="E58" s="229" t="s">
        <v>625</v>
      </c>
      <c r="G58" s="839">
        <f>'Notes 17-18'!F123</f>
        <v>10664</v>
      </c>
      <c r="H58" s="184">
        <f>'Notes 17-18'!G123</f>
        <v>6875</v>
      </c>
      <c r="J58" s="100"/>
    </row>
    <row r="59" spans="1:10" x14ac:dyDescent="0.25">
      <c r="A59" s="248" t="s">
        <v>147</v>
      </c>
      <c r="B59" s="248" t="s">
        <v>360</v>
      </c>
      <c r="C59" s="246" t="s">
        <v>693</v>
      </c>
      <c r="D59" s="839">
        <f>'Notes 17-18'!C124</f>
        <v>3572</v>
      </c>
      <c r="E59" s="184">
        <f>'Notes 17-18'!D124</f>
        <v>1024</v>
      </c>
      <c r="G59" s="839">
        <f>'Notes 17-18'!F124</f>
        <v>872</v>
      </c>
      <c r="H59" s="184">
        <f>'Notes 17-18'!G124</f>
        <v>1024</v>
      </c>
      <c r="J59" s="100"/>
    </row>
    <row r="60" spans="1:10" x14ac:dyDescent="0.25">
      <c r="A60" s="248" t="s">
        <v>344</v>
      </c>
      <c r="B60" s="248" t="s">
        <v>694</v>
      </c>
      <c r="C60" s="246"/>
      <c r="D60" s="839">
        <f>'Financial Position'!D15</f>
        <v>3229</v>
      </c>
      <c r="E60" s="184">
        <f>'Financial Position'!E15</f>
        <v>986</v>
      </c>
      <c r="G60" s="839">
        <f>'Financial Position'!G15</f>
        <v>284</v>
      </c>
      <c r="H60" s="184">
        <f>'Financial Position'!H15</f>
        <v>978</v>
      </c>
      <c r="J60" s="100"/>
    </row>
    <row r="61" spans="1:10" x14ac:dyDescent="0.25">
      <c r="A61" s="248" t="s">
        <v>150</v>
      </c>
      <c r="B61" s="248" t="s">
        <v>361</v>
      </c>
      <c r="C61" s="246" t="s">
        <v>693</v>
      </c>
      <c r="D61" s="839">
        <f>'Notes 17-18'!C125</f>
        <v>15947</v>
      </c>
      <c r="E61" s="184">
        <f>'Notes 17-18'!D125</f>
        <v>2794</v>
      </c>
      <c r="G61" s="839">
        <f>'Notes 17-18'!F125</f>
        <v>3959</v>
      </c>
      <c r="H61" s="184">
        <f>'Notes 17-18'!G125</f>
        <v>927</v>
      </c>
      <c r="J61" s="100"/>
    </row>
    <row r="62" spans="1:10" x14ac:dyDescent="0.25">
      <c r="A62" s="248" t="s">
        <v>1323</v>
      </c>
      <c r="B62" s="248" t="s">
        <v>1339</v>
      </c>
      <c r="C62" s="246">
        <v>25</v>
      </c>
      <c r="D62" s="867" t="s">
        <v>625</v>
      </c>
      <c r="E62" s="229" t="s">
        <v>625</v>
      </c>
      <c r="G62" s="867">
        <f>'Note 25'!C121</f>
        <v>1098781</v>
      </c>
      <c r="H62" s="229">
        <f>'Note 25'!D121</f>
        <v>622704</v>
      </c>
      <c r="J62" s="100"/>
    </row>
    <row r="63" spans="1:10" x14ac:dyDescent="0.25">
      <c r="A63" s="361" t="s">
        <v>26</v>
      </c>
      <c r="B63" s="361" t="s">
        <v>213</v>
      </c>
      <c r="C63" s="246">
        <v>18</v>
      </c>
      <c r="D63" s="839">
        <f>'Financial Position'!D27</f>
        <v>236003</v>
      </c>
      <c r="E63" s="184">
        <f>'Financial Position'!E27</f>
        <v>183980</v>
      </c>
      <c r="G63" s="839">
        <f>'Financial Position'!G27</f>
        <v>232855</v>
      </c>
      <c r="H63" s="184">
        <f>'Financial Position'!H27</f>
        <v>181197</v>
      </c>
      <c r="J63" s="100"/>
    </row>
    <row r="64" spans="1:10" x14ac:dyDescent="0.25">
      <c r="A64" s="248" t="s">
        <v>25</v>
      </c>
      <c r="B64" s="248" t="s">
        <v>212</v>
      </c>
      <c r="C64" s="246" t="s">
        <v>680</v>
      </c>
      <c r="D64" s="839">
        <f>-'Notes 20-21'!D128</f>
        <v>4619</v>
      </c>
      <c r="E64" s="184">
        <f>-'Notes 20-21'!F128</f>
        <v>6134</v>
      </c>
      <c r="G64" s="839">
        <f>-'Notes 20-21'!I128</f>
        <v>4619</v>
      </c>
      <c r="H64" s="184">
        <f>-'Notes 20-21'!K128</f>
        <v>6134</v>
      </c>
      <c r="J64" s="100"/>
    </row>
    <row r="65" spans="1:13" ht="15.75" thickBot="1" x14ac:dyDescent="0.3">
      <c r="A65" s="253" t="s">
        <v>21</v>
      </c>
      <c r="B65" s="253" t="s">
        <v>677</v>
      </c>
      <c r="C65" s="254" t="s">
        <v>678</v>
      </c>
      <c r="D65" s="855">
        <f>'Notes 20-21'!C47</f>
        <v>16984.373150000007</v>
      </c>
      <c r="E65" s="201">
        <f>'Notes 20-21'!D47</f>
        <v>20554</v>
      </c>
      <c r="G65" s="855">
        <f>'Notes 20-21'!F47</f>
        <v>16984.373150000007</v>
      </c>
      <c r="H65" s="201">
        <f>'Notes 20-21'!G47</f>
        <v>20554</v>
      </c>
      <c r="J65" s="100"/>
    </row>
    <row r="66" spans="1:13" ht="15.75" thickBot="1" x14ac:dyDescent="0.3">
      <c r="A66" s="273"/>
      <c r="B66" s="273"/>
      <c r="C66" s="327"/>
      <c r="D66" s="884">
        <f>SUM(D56:D65)</f>
        <v>389258.37315</v>
      </c>
      <c r="E66" s="272">
        <f>SUM(E56:E65)</f>
        <v>338308</v>
      </c>
      <c r="G66" s="884">
        <f>SUM(G56:G65)</f>
        <v>1454260.3731500001</v>
      </c>
      <c r="H66" s="272">
        <f>SUM(H56:H65)</f>
        <v>945059</v>
      </c>
      <c r="J66" s="101"/>
    </row>
    <row r="67" spans="1:13" x14ac:dyDescent="0.25">
      <c r="F67" s="98"/>
      <c r="G67" s="98"/>
    </row>
    <row r="69" spans="1:13" ht="36" x14ac:dyDescent="0.25">
      <c r="A69" s="14" t="s">
        <v>345</v>
      </c>
      <c r="B69" s="14" t="s">
        <v>362</v>
      </c>
      <c r="C69" s="14"/>
      <c r="D69" s="53"/>
      <c r="E69" s="50"/>
      <c r="F69" s="53"/>
      <c r="G69" s="53"/>
      <c r="H69" s="50"/>
    </row>
    <row r="70" spans="1:13" ht="15.75" thickBot="1" x14ac:dyDescent="0.3">
      <c r="A70" s="14"/>
      <c r="B70" s="14"/>
      <c r="C70" s="14"/>
      <c r="D70" s="53"/>
      <c r="E70" s="93"/>
      <c r="F70" s="93"/>
      <c r="G70" s="370" t="str">
        <f>H52</f>
        <v>EUR'000</v>
      </c>
    </row>
    <row r="71" spans="1:13" ht="21" customHeight="1" thickBot="1" x14ac:dyDescent="0.3">
      <c r="A71" s="364"/>
      <c r="B71" s="364"/>
      <c r="C71" s="1494" t="s">
        <v>949</v>
      </c>
      <c r="D71" s="1494"/>
      <c r="E71" s="93"/>
      <c r="F71" s="1494" t="s">
        <v>1403</v>
      </c>
      <c r="G71" s="1494"/>
    </row>
    <row r="72" spans="1:13" ht="15.75" customHeight="1" thickBot="1" x14ac:dyDescent="0.3">
      <c r="A72" s="366"/>
      <c r="B72" s="312"/>
      <c r="C72" s="917" t="s">
        <v>957</v>
      </c>
      <c r="D72" s="365" t="s">
        <v>819</v>
      </c>
      <c r="E72" s="94"/>
      <c r="F72" s="917" t="s">
        <v>957</v>
      </c>
      <c r="G72" s="365" t="s">
        <v>819</v>
      </c>
      <c r="H72" s="94"/>
    </row>
    <row r="73" spans="1:13" x14ac:dyDescent="0.25">
      <c r="A73" s="366"/>
      <c r="B73" s="312"/>
      <c r="C73" s="918"/>
      <c r="D73" s="368"/>
      <c r="E73" s="95"/>
      <c r="F73" s="918"/>
      <c r="G73" s="368"/>
      <c r="H73" s="95"/>
    </row>
    <row r="74" spans="1:13" x14ac:dyDescent="0.25">
      <c r="A74" s="178" t="s">
        <v>782</v>
      </c>
      <c r="B74" s="178" t="s">
        <v>783</v>
      </c>
      <c r="C74" s="786" t="s">
        <v>1365</v>
      </c>
      <c r="D74" s="345">
        <v>175911</v>
      </c>
      <c r="E74" s="96"/>
      <c r="F74" s="786" t="s">
        <v>1366</v>
      </c>
      <c r="G74" s="345">
        <v>173128</v>
      </c>
      <c r="H74" s="96"/>
    </row>
    <row r="75" spans="1:13" ht="15.75" thickBot="1" x14ac:dyDescent="0.3">
      <c r="A75" s="253" t="s">
        <v>346</v>
      </c>
      <c r="B75" s="253" t="s">
        <v>691</v>
      </c>
      <c r="C75" s="782">
        <v>8317</v>
      </c>
      <c r="D75" s="226">
        <v>8069</v>
      </c>
      <c r="E75" s="96"/>
      <c r="F75" s="782">
        <v>8317</v>
      </c>
      <c r="G75" s="226">
        <v>8069</v>
      </c>
      <c r="H75" s="96"/>
    </row>
    <row r="76" spans="1:13" ht="15.75" thickBot="1" x14ac:dyDescent="0.3">
      <c r="A76" s="369"/>
      <c r="B76" s="273"/>
      <c r="C76" s="784">
        <v>236003</v>
      </c>
      <c r="D76" s="328" t="s">
        <v>1367</v>
      </c>
      <c r="E76" s="97"/>
      <c r="F76" s="784">
        <v>232855</v>
      </c>
      <c r="G76" s="328">
        <v>181197</v>
      </c>
      <c r="H76" s="97"/>
    </row>
    <row r="77" spans="1:13" x14ac:dyDescent="0.25">
      <c r="A77" s="31" t="s">
        <v>784</v>
      </c>
      <c r="B77" s="31" t="s">
        <v>785</v>
      </c>
      <c r="E77" s="98"/>
      <c r="F77" s="98"/>
    </row>
    <row r="79" spans="1:13" ht="15" customHeight="1" x14ac:dyDescent="0.25">
      <c r="A79" s="13" t="s">
        <v>347</v>
      </c>
      <c r="B79" s="13" t="s">
        <v>363</v>
      </c>
      <c r="C79" s="13"/>
      <c r="D79" s="53"/>
      <c r="E79" s="53"/>
      <c r="F79" s="53"/>
      <c r="G79" s="53"/>
      <c r="H79" s="53"/>
      <c r="I79" s="53"/>
      <c r="J79" s="53"/>
      <c r="K79" s="53"/>
    </row>
    <row r="80" spans="1:13" ht="15.75" thickBot="1" x14ac:dyDescent="0.3">
      <c r="A80" s="13"/>
      <c r="B80" s="13"/>
      <c r="C80" s="13"/>
      <c r="D80" s="53"/>
      <c r="E80" s="53"/>
      <c r="F80" s="53"/>
      <c r="G80" s="53"/>
      <c r="H80" s="93"/>
      <c r="I80" s="93"/>
      <c r="J80" s="93"/>
      <c r="K80" s="53"/>
      <c r="M80" s="356" t="str">
        <f>G70</f>
        <v>EUR'000</v>
      </c>
    </row>
    <row r="81" spans="1:13" ht="24" customHeight="1" thickBot="1" x14ac:dyDescent="0.3">
      <c r="A81" s="371"/>
      <c r="B81" s="371"/>
      <c r="C81" s="1494" t="s">
        <v>949</v>
      </c>
      <c r="D81" s="1494"/>
      <c r="E81" s="1494"/>
      <c r="F81" s="1494"/>
      <c r="G81" s="1494"/>
      <c r="H81" s="93"/>
      <c r="I81" s="1494" t="s">
        <v>1403</v>
      </c>
      <c r="J81" s="1494"/>
      <c r="K81" s="1494"/>
      <c r="L81" s="1494"/>
      <c r="M81" s="1494"/>
    </row>
    <row r="82" spans="1:13" ht="23.25" thickBot="1" x14ac:dyDescent="0.3">
      <c r="A82" s="372"/>
      <c r="B82" s="372"/>
      <c r="C82" s="373" t="s">
        <v>348</v>
      </c>
      <c r="D82" s="373" t="s">
        <v>393</v>
      </c>
      <c r="E82" s="373" t="s">
        <v>394</v>
      </c>
      <c r="F82" s="373" t="s">
        <v>468</v>
      </c>
      <c r="G82" s="373" t="s">
        <v>50</v>
      </c>
      <c r="H82" s="105"/>
      <c r="I82" s="373" t="s">
        <v>348</v>
      </c>
      <c r="J82" s="373" t="s">
        <v>393</v>
      </c>
      <c r="K82" s="373" t="s">
        <v>394</v>
      </c>
      <c r="L82" s="373" t="s">
        <v>468</v>
      </c>
      <c r="M82" s="373" t="s">
        <v>50</v>
      </c>
    </row>
    <row r="83" spans="1:13" ht="23.25" thickBot="1" x14ac:dyDescent="0.3">
      <c r="A83" s="372"/>
      <c r="B83" s="372"/>
      <c r="C83" s="374" t="s">
        <v>365</v>
      </c>
      <c r="D83" s="374" t="s">
        <v>395</v>
      </c>
      <c r="E83" s="374" t="s">
        <v>396</v>
      </c>
      <c r="F83" s="374" t="s">
        <v>397</v>
      </c>
      <c r="G83" s="374" t="s">
        <v>277</v>
      </c>
      <c r="H83" s="106"/>
      <c r="I83" s="374" t="s">
        <v>365</v>
      </c>
      <c r="J83" s="374" t="s">
        <v>395</v>
      </c>
      <c r="K83" s="374" t="s">
        <v>396</v>
      </c>
      <c r="L83" s="374" t="s">
        <v>397</v>
      </c>
      <c r="M83" s="374" t="s">
        <v>277</v>
      </c>
    </row>
    <row r="84" spans="1:13" x14ac:dyDescent="0.25">
      <c r="A84" s="316" t="s">
        <v>955</v>
      </c>
      <c r="B84" s="375" t="s">
        <v>956</v>
      </c>
      <c r="C84" s="99"/>
      <c r="D84" s="99"/>
      <c r="E84" s="99"/>
      <c r="F84" s="99"/>
      <c r="G84" s="99"/>
      <c r="H84" s="107"/>
      <c r="I84" s="99"/>
      <c r="J84" s="99"/>
      <c r="K84" s="99"/>
      <c r="L84" s="99"/>
      <c r="M84" s="99"/>
    </row>
    <row r="85" spans="1:13" x14ac:dyDescent="0.25">
      <c r="A85" s="178" t="s">
        <v>410</v>
      </c>
      <c r="B85" s="178" t="s">
        <v>411</v>
      </c>
      <c r="C85" s="1192">
        <v>113285</v>
      </c>
      <c r="D85" s="1192">
        <v>119074</v>
      </c>
      <c r="E85" s="1192">
        <v>313149</v>
      </c>
      <c r="F85" s="1192">
        <v>191748</v>
      </c>
      <c r="G85" s="1001">
        <f t="shared" ref="G85:G86" si="12">SUM(C85:F85)</f>
        <v>737256</v>
      </c>
      <c r="H85" s="100"/>
      <c r="I85" s="1192">
        <v>109727</v>
      </c>
      <c r="J85" s="1192">
        <v>117985</v>
      </c>
      <c r="K85" s="1192">
        <v>310411</v>
      </c>
      <c r="L85" s="1192">
        <v>194733</v>
      </c>
      <c r="M85" s="1001">
        <f>SUM(I85:L85)</f>
        <v>732856</v>
      </c>
    </row>
    <row r="86" spans="1:13" x14ac:dyDescent="0.25">
      <c r="A86" s="248" t="s">
        <v>55</v>
      </c>
      <c r="B86" s="248" t="s">
        <v>314</v>
      </c>
      <c r="C86" s="114">
        <v>2880</v>
      </c>
      <c r="D86" s="114">
        <v>2880</v>
      </c>
      <c r="E86" s="114">
        <v>142041</v>
      </c>
      <c r="F86" s="114" t="s">
        <v>625</v>
      </c>
      <c r="G86" s="1001">
        <f t="shared" si="12"/>
        <v>147801</v>
      </c>
      <c r="H86" s="100"/>
      <c r="I86" s="114">
        <v>2880</v>
      </c>
      <c r="J86" s="114">
        <v>2880</v>
      </c>
      <c r="K86" s="114">
        <v>142041</v>
      </c>
      <c r="L86" s="114" t="s">
        <v>625</v>
      </c>
      <c r="M86" s="1001">
        <f>SUM(I86:L86)</f>
        <v>147801</v>
      </c>
    </row>
    <row r="87" spans="1:13" x14ac:dyDescent="0.25">
      <c r="A87" s="248" t="s">
        <v>25</v>
      </c>
      <c r="B87" s="248" t="s">
        <v>212</v>
      </c>
      <c r="C87" s="114">
        <v>5304</v>
      </c>
      <c r="D87" s="114">
        <v>5077</v>
      </c>
      <c r="E87" s="114">
        <v>3273</v>
      </c>
      <c r="F87" s="114">
        <v>318</v>
      </c>
      <c r="G87" s="1001">
        <v>13972</v>
      </c>
      <c r="H87" s="100"/>
      <c r="I87" s="114">
        <v>3260</v>
      </c>
      <c r="J87" s="114">
        <v>2534</v>
      </c>
      <c r="K87" s="114">
        <v>3273</v>
      </c>
      <c r="L87" s="114">
        <v>318</v>
      </c>
      <c r="M87" s="1001">
        <f>SUM(I87:L87)</f>
        <v>9385</v>
      </c>
    </row>
    <row r="88" spans="1:13" ht="15.75" thickBot="1" x14ac:dyDescent="0.3">
      <c r="A88" s="253" t="s">
        <v>865</v>
      </c>
      <c r="B88" s="253" t="s">
        <v>864</v>
      </c>
      <c r="C88" s="201">
        <f>'Note 23-24 '!C67</f>
        <v>115742</v>
      </c>
      <c r="D88" s="367" t="s">
        <v>625</v>
      </c>
      <c r="E88" s="367" t="s">
        <v>625</v>
      </c>
      <c r="F88" s="367" t="s">
        <v>625</v>
      </c>
      <c r="G88" s="398">
        <f>SUM(C88:F88)</f>
        <v>115742</v>
      </c>
      <c r="H88" s="100"/>
      <c r="I88" s="201">
        <f>'Note 23-24 '!F67</f>
        <v>79341</v>
      </c>
      <c r="J88" s="367" t="s">
        <v>625</v>
      </c>
      <c r="K88" s="367" t="s">
        <v>625</v>
      </c>
      <c r="L88" s="367" t="s">
        <v>625</v>
      </c>
      <c r="M88" s="398">
        <f>SUM(I88:L88)</f>
        <v>79341</v>
      </c>
    </row>
    <row r="89" spans="1:13" x14ac:dyDescent="0.25">
      <c r="A89" s="920"/>
      <c r="B89" s="920"/>
      <c r="C89" s="878">
        <f>C88+C87+C86+C85</f>
        <v>237211</v>
      </c>
      <c r="D89" s="878">
        <f t="shared" ref="D89:G89" si="13">SUM(D85:D88)</f>
        <v>127031</v>
      </c>
      <c r="E89" s="878">
        <f t="shared" si="13"/>
        <v>458463</v>
      </c>
      <c r="F89" s="878">
        <f t="shared" si="13"/>
        <v>192066</v>
      </c>
      <c r="G89" s="878">
        <f t="shared" si="13"/>
        <v>1014771</v>
      </c>
      <c r="H89" s="101"/>
      <c r="I89" s="878">
        <f t="shared" ref="I89:M89" si="14">SUM(I85:I88)</f>
        <v>195208</v>
      </c>
      <c r="J89" s="878">
        <f t="shared" si="14"/>
        <v>123399</v>
      </c>
      <c r="K89" s="878">
        <f t="shared" si="14"/>
        <v>455725</v>
      </c>
      <c r="L89" s="878">
        <f t="shared" si="14"/>
        <v>195051</v>
      </c>
      <c r="M89" s="878">
        <f t="shared" si="14"/>
        <v>969383</v>
      </c>
    </row>
    <row r="90" spans="1:13" x14ac:dyDescent="0.25">
      <c r="A90" s="316"/>
      <c r="B90" s="375"/>
      <c r="C90" s="99"/>
      <c r="D90" s="99"/>
      <c r="E90" s="99"/>
      <c r="F90" s="99"/>
      <c r="G90" s="99"/>
      <c r="H90" s="107"/>
      <c r="I90" s="99"/>
      <c r="J90" s="99"/>
      <c r="K90" s="99"/>
      <c r="L90" s="99"/>
      <c r="M90" s="99"/>
    </row>
    <row r="91" spans="1:13" ht="10.5" customHeight="1" x14ac:dyDescent="0.25">
      <c r="A91" s="1196" t="s">
        <v>800</v>
      </c>
      <c r="B91" s="375" t="s">
        <v>801</v>
      </c>
      <c r="C91" s="107"/>
      <c r="D91" s="107"/>
      <c r="E91" s="107"/>
      <c r="F91" s="107"/>
      <c r="G91" s="107"/>
      <c r="H91" s="107"/>
      <c r="I91" s="107"/>
      <c r="J91" s="107"/>
      <c r="K91" s="107"/>
      <c r="L91" s="107"/>
      <c r="M91" s="107"/>
    </row>
    <row r="92" spans="1:13" x14ac:dyDescent="0.25">
      <c r="A92" s="178" t="s">
        <v>410</v>
      </c>
      <c r="B92" s="178" t="s">
        <v>411</v>
      </c>
      <c r="C92" s="269">
        <v>88142</v>
      </c>
      <c r="D92" s="269">
        <v>109663</v>
      </c>
      <c r="E92" s="269">
        <v>279637</v>
      </c>
      <c r="F92" s="269">
        <v>135335</v>
      </c>
      <c r="G92" s="404">
        <f t="shared" ref="G92:G95" si="15">SUM(C92:F92)</f>
        <v>612777</v>
      </c>
      <c r="H92" s="100"/>
      <c r="I92" s="269">
        <v>82646</v>
      </c>
      <c r="J92" s="269">
        <v>106856</v>
      </c>
      <c r="K92" s="269">
        <v>274674</v>
      </c>
      <c r="L92" s="269">
        <v>134879</v>
      </c>
      <c r="M92" s="404">
        <f t="shared" ref="M92:M95" si="16">SUM(I92:L92)</f>
        <v>599055</v>
      </c>
    </row>
    <row r="93" spans="1:13" x14ac:dyDescent="0.25">
      <c r="A93" s="248" t="s">
        <v>55</v>
      </c>
      <c r="B93" s="248" t="s">
        <v>314</v>
      </c>
      <c r="C93" s="250">
        <v>74915</v>
      </c>
      <c r="D93" s="250">
        <v>2880</v>
      </c>
      <c r="E93" s="250">
        <v>42389</v>
      </c>
      <c r="F93" s="250">
        <v>102577</v>
      </c>
      <c r="G93" s="404">
        <f t="shared" si="15"/>
        <v>222761</v>
      </c>
      <c r="H93" s="100"/>
      <c r="I93" s="250">
        <v>74915</v>
      </c>
      <c r="J93" s="250">
        <v>2880</v>
      </c>
      <c r="K93" s="250">
        <v>42389</v>
      </c>
      <c r="L93" s="250">
        <v>102577</v>
      </c>
      <c r="M93" s="404">
        <f t="shared" si="16"/>
        <v>222761</v>
      </c>
    </row>
    <row r="94" spans="1:13" x14ac:dyDescent="0.25">
      <c r="A94" s="248" t="s">
        <v>25</v>
      </c>
      <c r="B94" s="248" t="s">
        <v>212</v>
      </c>
      <c r="C94" s="250">
        <v>3737</v>
      </c>
      <c r="D94" s="250">
        <v>2894</v>
      </c>
      <c r="E94" s="250">
        <v>4594</v>
      </c>
      <c r="F94" s="250">
        <v>779</v>
      </c>
      <c r="G94" s="404">
        <f t="shared" si="15"/>
        <v>12004</v>
      </c>
      <c r="H94" s="100"/>
      <c r="I94" s="250">
        <v>3737</v>
      </c>
      <c r="J94" s="250">
        <v>2894</v>
      </c>
      <c r="K94" s="250">
        <v>4594</v>
      </c>
      <c r="L94" s="250">
        <v>779</v>
      </c>
      <c r="M94" s="404">
        <f t="shared" si="16"/>
        <v>12004</v>
      </c>
    </row>
    <row r="95" spans="1:13" ht="15.75" thickBot="1" x14ac:dyDescent="0.3">
      <c r="A95" s="253" t="s">
        <v>865</v>
      </c>
      <c r="B95" s="253" t="s">
        <v>864</v>
      </c>
      <c r="C95" s="201">
        <f>'Note 23-24 '!D67</f>
        <v>88555</v>
      </c>
      <c r="D95" s="367" t="s">
        <v>625</v>
      </c>
      <c r="E95" s="367" t="s">
        <v>625</v>
      </c>
      <c r="F95" s="367" t="s">
        <v>625</v>
      </c>
      <c r="G95" s="398">
        <f t="shared" si="15"/>
        <v>88555</v>
      </c>
      <c r="H95" s="100"/>
      <c r="I95" s="201">
        <f>'Note 23-24 '!G67</f>
        <v>71197</v>
      </c>
      <c r="J95" s="367" t="s">
        <v>625</v>
      </c>
      <c r="K95" s="367" t="s">
        <v>625</v>
      </c>
      <c r="L95" s="367" t="s">
        <v>625</v>
      </c>
      <c r="M95" s="398">
        <f t="shared" si="16"/>
        <v>71197</v>
      </c>
    </row>
    <row r="96" spans="1:13" x14ac:dyDescent="0.25">
      <c r="A96" s="921"/>
      <c r="B96" s="921"/>
      <c r="C96" s="878">
        <f>SUM(C92:C95)</f>
        <v>255349</v>
      </c>
      <c r="D96" s="878">
        <f t="shared" ref="D96:G96" si="17">SUM(D92:D95)</f>
        <v>115437</v>
      </c>
      <c r="E96" s="878">
        <f t="shared" si="17"/>
        <v>326620</v>
      </c>
      <c r="F96" s="878">
        <f t="shared" si="17"/>
        <v>238691</v>
      </c>
      <c r="G96" s="878">
        <f t="shared" si="17"/>
        <v>936097</v>
      </c>
      <c r="H96" s="101"/>
      <c r="I96" s="878">
        <f>SUM(I92:I95)</f>
        <v>232495</v>
      </c>
      <c r="J96" s="878">
        <f t="shared" ref="J96:L96" si="18">SUM(J92:J95)</f>
        <v>112630</v>
      </c>
      <c r="K96" s="878">
        <f t="shared" si="18"/>
        <v>321657</v>
      </c>
      <c r="L96" s="878">
        <f t="shared" si="18"/>
        <v>238235</v>
      </c>
      <c r="M96" s="878">
        <f>SUM(M92:M95)</f>
        <v>905017</v>
      </c>
    </row>
    <row r="97" spans="1:10" x14ac:dyDescent="0.25">
      <c r="A97" s="1500" t="s">
        <v>1572</v>
      </c>
      <c r="B97" s="1500"/>
      <c r="C97" s="1500"/>
      <c r="D97" s="1500"/>
      <c r="E97" s="1500"/>
      <c r="F97" s="1500"/>
      <c r="G97" s="1500"/>
      <c r="H97" s="98"/>
      <c r="I97" s="98"/>
      <c r="J97" s="98"/>
    </row>
    <row r="98" spans="1:10" x14ac:dyDescent="0.25">
      <c r="A98" s="1501" t="s">
        <v>1573</v>
      </c>
      <c r="B98" s="1501"/>
      <c r="C98" s="1501"/>
      <c r="D98" s="1501"/>
      <c r="E98" s="1501"/>
      <c r="F98" s="1501"/>
      <c r="G98" s="1501"/>
      <c r="H98" s="98"/>
      <c r="I98" s="98"/>
      <c r="J98" s="98"/>
    </row>
    <row r="99" spans="1:10" x14ac:dyDescent="0.25">
      <c r="H99" s="98"/>
      <c r="I99" s="98"/>
      <c r="J99" s="98"/>
    </row>
    <row r="100" spans="1:10" x14ac:dyDescent="0.25">
      <c r="A100" s="13" t="s">
        <v>466</v>
      </c>
      <c r="B100" s="13" t="s">
        <v>467</v>
      </c>
      <c r="C100" s="14"/>
      <c r="D100" s="53"/>
      <c r="E100" s="53"/>
      <c r="F100" s="53"/>
    </row>
    <row r="101" spans="1:10" ht="15.75" thickBot="1" x14ac:dyDescent="0.3">
      <c r="A101" s="13"/>
      <c r="B101" s="13"/>
      <c r="C101" s="14"/>
      <c r="D101" s="53"/>
      <c r="E101" s="53"/>
      <c r="F101" s="53"/>
      <c r="G101" s="370" t="str">
        <f>M80</f>
        <v>EUR'000</v>
      </c>
    </row>
    <row r="102" spans="1:10" ht="15.75" thickBot="1" x14ac:dyDescent="0.3">
      <c r="A102" s="371"/>
      <c r="B102" s="371"/>
      <c r="C102" s="1499" t="s">
        <v>949</v>
      </c>
      <c r="D102" s="1499"/>
      <c r="E102" s="53"/>
      <c r="F102" s="1499" t="s">
        <v>1403</v>
      </c>
      <c r="G102" s="1499"/>
    </row>
    <row r="103" spans="1:10" ht="15.75" thickBot="1" x14ac:dyDescent="0.3">
      <c r="A103" s="99"/>
      <c r="B103" s="99"/>
      <c r="C103" s="917" t="s">
        <v>957</v>
      </c>
      <c r="D103" s="365" t="s">
        <v>819</v>
      </c>
      <c r="E103" s="94"/>
      <c r="F103" s="917" t="s">
        <v>957</v>
      </c>
      <c r="G103" s="365" t="s">
        <v>819</v>
      </c>
      <c r="H103" s="94"/>
      <c r="I103" s="17"/>
    </row>
    <row r="104" spans="1:10" x14ac:dyDescent="0.25">
      <c r="A104" s="99"/>
      <c r="B104" s="99"/>
      <c r="C104" s="861"/>
      <c r="D104" s="99"/>
      <c r="E104" s="99"/>
      <c r="F104" s="861"/>
      <c r="G104" s="99"/>
      <c r="H104" s="99"/>
      <c r="I104" s="18"/>
    </row>
    <row r="105" spans="1:10" x14ac:dyDescent="0.25">
      <c r="A105" s="312" t="s">
        <v>469</v>
      </c>
      <c r="B105" s="312" t="s">
        <v>221</v>
      </c>
      <c r="C105" s="867">
        <f>'Financial Position'!D37</f>
        <v>2846891</v>
      </c>
      <c r="D105" s="229">
        <f>'Financial Position'!E37</f>
        <v>2418713</v>
      </c>
      <c r="E105" s="100"/>
      <c r="F105" s="867">
        <f>'Financial Position'!G37</f>
        <v>2382638</v>
      </c>
      <c r="G105" s="229">
        <f>'Financial Position'!H37</f>
        <v>2177069</v>
      </c>
      <c r="H105" s="100"/>
      <c r="I105" s="18"/>
    </row>
    <row r="106" spans="1:10" x14ac:dyDescent="0.25">
      <c r="A106" s="248" t="s">
        <v>545</v>
      </c>
      <c r="B106" s="248" t="s">
        <v>368</v>
      </c>
      <c r="C106" s="839">
        <f>'Financial Position'!D29</f>
        <v>4415725</v>
      </c>
      <c r="D106" s="184">
        <f>'Financial Position'!E29</f>
        <v>3901231</v>
      </c>
      <c r="E106" s="100"/>
      <c r="F106" s="839">
        <f>'Financial Position'!G29</f>
        <v>3649200</v>
      </c>
      <c r="G106" s="184">
        <f>'Financial Position'!H29</f>
        <v>3204394</v>
      </c>
      <c r="H106" s="100"/>
      <c r="I106" s="18"/>
    </row>
    <row r="107" spans="1:10" ht="15.75" thickBot="1" x14ac:dyDescent="0.3">
      <c r="A107" s="376" t="s">
        <v>349</v>
      </c>
      <c r="B107" s="346" t="s">
        <v>364</v>
      </c>
      <c r="C107" s="919">
        <v>0.64471655277445949</v>
      </c>
      <c r="D107" s="377">
        <v>0.61998712714012572</v>
      </c>
      <c r="E107" s="104"/>
      <c r="F107" s="919">
        <v>0.65292064014030471</v>
      </c>
      <c r="G107" s="377">
        <v>0.67940115978247373</v>
      </c>
      <c r="H107" s="104"/>
      <c r="I107" s="18"/>
    </row>
    <row r="108" spans="1:10" x14ac:dyDescent="0.25">
      <c r="E108" s="98"/>
      <c r="F108" s="98"/>
    </row>
  </sheetData>
  <sheetProtection algorithmName="SHA-512" hashValue="3B89P3z82mPiEZogW6DnP4EWUhfivoX/bertvso251x2omxM7lkv+5RfHehsRrrvd3obO5HHWX5XA8DBi946qw==" saltValue="osk5p0ZmDtM/LiYmEgorNQ==" spinCount="100000" sheet="1" objects="1" scenarios="1"/>
  <mergeCells count="17">
    <mergeCell ref="C71:D71"/>
    <mergeCell ref="F71:G71"/>
    <mergeCell ref="C81:G81"/>
    <mergeCell ref="I81:M81"/>
    <mergeCell ref="C102:D102"/>
    <mergeCell ref="F102:G102"/>
    <mergeCell ref="A97:G97"/>
    <mergeCell ref="A98:G98"/>
    <mergeCell ref="D53:E53"/>
    <mergeCell ref="D8:G8"/>
    <mergeCell ref="I8:L8"/>
    <mergeCell ref="C8:C9"/>
    <mergeCell ref="D34:F34"/>
    <mergeCell ref="H34:J34"/>
    <mergeCell ref="C34:C35"/>
    <mergeCell ref="G53:H53"/>
    <mergeCell ref="C53:C54"/>
  </mergeCells>
  <pageMargins left="0" right="0" top="0.78740157480314965" bottom="0.59055118110236227" header="0.31496062992125984" footer="0.11811023622047245"/>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7"/>
  <sheetViews>
    <sheetView showGridLines="0" workbookViewId="0">
      <pane ySplit="4" topLeftCell="A5" activePane="bottomLeft" state="frozen"/>
      <selection pane="bottomLeft" activeCell="A5" sqref="A5"/>
    </sheetView>
  </sheetViews>
  <sheetFormatPr defaultColWidth="9.140625" defaultRowHeight="15" outlineLevelCol="1" x14ac:dyDescent="0.25"/>
  <cols>
    <col min="1" max="1" width="53.28515625" style="28" customWidth="1"/>
    <col min="2" max="2" width="46.5703125" style="28" customWidth="1" outlineLevel="1"/>
    <col min="3" max="3" width="9.140625" style="28" customWidth="1" outlineLevel="1"/>
    <col min="4" max="7" width="8.85546875" style="54" customWidth="1"/>
    <col min="8" max="8" width="4.7109375" style="28" customWidth="1"/>
    <col min="9" max="12" width="8.85546875" style="54" customWidth="1"/>
    <col min="13" max="16384" width="9.140625" style="28"/>
  </cols>
  <sheetData>
    <row r="1" spans="1:12" x14ac:dyDescent="0.25">
      <c r="A1" s="27" t="str">
        <f>'Key Figures'!A1</f>
        <v>LATVENERGO KONCERNA KONSOLIDĒTIE un</v>
      </c>
      <c r="B1" s="27" t="str">
        <f>'Key Figures'!B1</f>
        <v>LATVENERGO GROUP CONSOLIDATED and</v>
      </c>
      <c r="C1" s="27"/>
    </row>
    <row r="2" spans="1:12" x14ac:dyDescent="0.25">
      <c r="A2" s="27" t="str">
        <f>'Key Figures'!A2</f>
        <v>AS „LATVENERGO” 2017. GADA FINANŠU PĀRSKATI</v>
      </c>
      <c r="B2" s="27" t="str">
        <f>'Key Figures'!B2</f>
        <v>LATVENERGO AS FINANCIAL STATEMENTS 2017</v>
      </c>
      <c r="D2" s="28"/>
      <c r="E2" s="28"/>
    </row>
    <row r="3" spans="1:12" ht="18" x14ac:dyDescent="0.25">
      <c r="A3" s="1" t="s">
        <v>350</v>
      </c>
      <c r="B3" s="1"/>
      <c r="C3" s="1"/>
    </row>
    <row r="4" spans="1:12" ht="18.75" x14ac:dyDescent="0.25">
      <c r="A4" s="51" t="s">
        <v>690</v>
      </c>
      <c r="B4" s="51"/>
      <c r="C4" s="51"/>
    </row>
    <row r="6" spans="1:12" ht="15.75" thickBot="1" x14ac:dyDescent="0.3">
      <c r="A6" s="3" t="s">
        <v>356</v>
      </c>
      <c r="B6" s="3" t="s">
        <v>786</v>
      </c>
      <c r="C6" s="3"/>
      <c r="D6" s="3"/>
      <c r="I6" s="3"/>
      <c r="L6" s="54" t="s">
        <v>51</v>
      </c>
    </row>
    <row r="7" spans="1:12" ht="15.75" thickBot="1" x14ac:dyDescent="0.3">
      <c r="A7" s="380"/>
      <c r="B7" s="380"/>
      <c r="C7" s="1497" t="s">
        <v>0</v>
      </c>
      <c r="D7" s="1503" t="s">
        <v>949</v>
      </c>
      <c r="E7" s="1503"/>
      <c r="F7" s="1503"/>
      <c r="G7" s="1503"/>
      <c r="I7" s="1503" t="s">
        <v>1403</v>
      </c>
      <c r="J7" s="1503"/>
      <c r="K7" s="1503"/>
      <c r="L7" s="1503"/>
    </row>
    <row r="8" spans="1:12" ht="15.75" thickBot="1" x14ac:dyDescent="0.3">
      <c r="A8" s="1502" t="s">
        <v>955</v>
      </c>
      <c r="B8" s="1502" t="s">
        <v>956</v>
      </c>
      <c r="C8" s="1498"/>
      <c r="D8" s="373" t="s">
        <v>351</v>
      </c>
      <c r="E8" s="373" t="s">
        <v>352</v>
      </c>
      <c r="F8" s="373" t="s">
        <v>353</v>
      </c>
      <c r="G8" s="373" t="s">
        <v>50</v>
      </c>
      <c r="H8" s="252"/>
      <c r="I8" s="373" t="s">
        <v>351</v>
      </c>
      <c r="J8" s="373" t="s">
        <v>352</v>
      </c>
      <c r="K8" s="373" t="s">
        <v>353</v>
      </c>
      <c r="L8" s="373" t="s">
        <v>50</v>
      </c>
    </row>
    <row r="9" spans="1:12" ht="23.25" thickBot="1" x14ac:dyDescent="0.3">
      <c r="A9" s="1502"/>
      <c r="B9" s="1502"/>
      <c r="C9" s="639" t="s">
        <v>465</v>
      </c>
      <c r="D9" s="373" t="s">
        <v>473</v>
      </c>
      <c r="E9" s="373" t="s">
        <v>474</v>
      </c>
      <c r="F9" s="373" t="s">
        <v>475</v>
      </c>
      <c r="G9" s="373" t="s">
        <v>472</v>
      </c>
      <c r="H9" s="252"/>
      <c r="I9" s="373" t="s">
        <v>473</v>
      </c>
      <c r="J9" s="373" t="s">
        <v>474</v>
      </c>
      <c r="K9" s="373" t="s">
        <v>475</v>
      </c>
      <c r="L9" s="373" t="s">
        <v>472</v>
      </c>
    </row>
    <row r="10" spans="1:12" x14ac:dyDescent="0.25">
      <c r="A10" s="810" t="s">
        <v>123</v>
      </c>
      <c r="B10" s="810" t="s">
        <v>367</v>
      </c>
      <c r="C10" s="378"/>
      <c r="D10" s="99"/>
      <c r="E10" s="99"/>
      <c r="F10" s="99"/>
      <c r="G10" s="105"/>
      <c r="H10" s="252"/>
      <c r="I10" s="99"/>
      <c r="J10" s="99"/>
      <c r="K10" s="99"/>
      <c r="L10" s="105"/>
    </row>
    <row r="11" spans="1:12" ht="22.5" x14ac:dyDescent="0.2">
      <c r="A11" s="179" t="s">
        <v>1369</v>
      </c>
      <c r="B11" s="240" t="s">
        <v>371</v>
      </c>
      <c r="C11" s="923"/>
      <c r="D11" s="363"/>
      <c r="E11" s="363"/>
      <c r="F11" s="363"/>
      <c r="G11" s="924"/>
      <c r="H11" s="252"/>
      <c r="I11" s="363"/>
      <c r="J11" s="363"/>
      <c r="K11" s="363"/>
      <c r="L11" s="924"/>
    </row>
    <row r="12" spans="1:12" x14ac:dyDescent="0.25">
      <c r="A12" s="182" t="s">
        <v>688</v>
      </c>
      <c r="B12" s="182" t="s">
        <v>1364</v>
      </c>
      <c r="C12" s="183" t="s">
        <v>603</v>
      </c>
      <c r="D12" s="362" t="s">
        <v>625</v>
      </c>
      <c r="E12" s="184">
        <v>545</v>
      </c>
      <c r="F12" s="362" t="s">
        <v>625</v>
      </c>
      <c r="G12" s="390">
        <v>545</v>
      </c>
      <c r="H12" s="252"/>
      <c r="I12" s="362" t="s">
        <v>625</v>
      </c>
      <c r="J12" s="184">
        <v>545</v>
      </c>
      <c r="K12" s="362" t="s">
        <v>625</v>
      </c>
      <c r="L12" s="390">
        <v>545</v>
      </c>
    </row>
    <row r="13" spans="1:12" ht="22.5" x14ac:dyDescent="0.2">
      <c r="A13" s="199" t="s">
        <v>808</v>
      </c>
      <c r="B13" s="223" t="s">
        <v>809</v>
      </c>
      <c r="C13" s="218" t="s">
        <v>603</v>
      </c>
      <c r="D13" s="382" t="s">
        <v>625</v>
      </c>
      <c r="E13" s="219">
        <v>4043</v>
      </c>
      <c r="F13" s="382" t="s">
        <v>625</v>
      </c>
      <c r="G13" s="922">
        <v>4043</v>
      </c>
      <c r="H13" s="252"/>
      <c r="I13" s="382" t="s">
        <v>625</v>
      </c>
      <c r="J13" s="219">
        <v>4043</v>
      </c>
      <c r="K13" s="382" t="s">
        <v>625</v>
      </c>
      <c r="L13" s="922">
        <v>4043</v>
      </c>
    </row>
    <row r="14" spans="1:12" ht="15.75" thickBot="1" x14ac:dyDescent="0.3">
      <c r="A14" s="199" t="s">
        <v>476</v>
      </c>
      <c r="B14" s="199" t="s">
        <v>477</v>
      </c>
      <c r="C14" s="200" t="s">
        <v>602</v>
      </c>
      <c r="D14" s="367" t="s">
        <v>625</v>
      </c>
      <c r="E14" s="201">
        <v>31</v>
      </c>
      <c r="F14" s="367" t="s">
        <v>625</v>
      </c>
      <c r="G14" s="831">
        <v>31</v>
      </c>
      <c r="H14" s="252"/>
      <c r="I14" s="367" t="s">
        <v>625</v>
      </c>
      <c r="J14" s="201">
        <v>31</v>
      </c>
      <c r="K14" s="367" t="s">
        <v>625</v>
      </c>
      <c r="L14" s="831">
        <v>31</v>
      </c>
    </row>
    <row r="15" spans="1:12" x14ac:dyDescent="0.25">
      <c r="A15" s="259" t="s">
        <v>354</v>
      </c>
      <c r="B15" s="259" t="s">
        <v>368</v>
      </c>
      <c r="C15" s="261"/>
      <c r="D15" s="383" t="s">
        <v>625</v>
      </c>
      <c r="E15" s="258">
        <f>SUM(E12:E14)</f>
        <v>4619</v>
      </c>
      <c r="F15" s="258" t="s">
        <v>625</v>
      </c>
      <c r="G15" s="258">
        <v>4619</v>
      </c>
      <c r="H15" s="252"/>
      <c r="I15" s="383" t="s">
        <v>625</v>
      </c>
      <c r="J15" s="258">
        <v>4619</v>
      </c>
      <c r="K15" s="258" t="s">
        <v>625</v>
      </c>
      <c r="L15" s="258">
        <v>4619</v>
      </c>
    </row>
    <row r="16" spans="1:12" x14ac:dyDescent="0.25">
      <c r="A16" s="255" t="s">
        <v>124</v>
      </c>
      <c r="B16" s="255" t="s">
        <v>369</v>
      </c>
      <c r="C16" s="925"/>
      <c r="D16" s="367"/>
      <c r="E16" s="367"/>
      <c r="F16" s="367"/>
      <c r="G16" s="926"/>
      <c r="H16" s="252"/>
      <c r="I16" s="367"/>
      <c r="J16" s="367"/>
      <c r="K16" s="367"/>
      <c r="L16" s="926"/>
    </row>
    <row r="17" spans="1:12" ht="22.5" x14ac:dyDescent="0.2">
      <c r="A17" s="191" t="s">
        <v>1370</v>
      </c>
      <c r="B17" s="231" t="s">
        <v>398</v>
      </c>
      <c r="C17" s="927"/>
      <c r="D17" s="99"/>
      <c r="E17" s="99"/>
      <c r="F17" s="99"/>
      <c r="G17" s="105"/>
      <c r="H17" s="252"/>
      <c r="I17" s="99"/>
      <c r="J17" s="99"/>
      <c r="K17" s="99"/>
      <c r="L17" s="105"/>
    </row>
    <row r="18" spans="1:12" x14ac:dyDescent="0.25">
      <c r="A18" s="928" t="s">
        <v>688</v>
      </c>
      <c r="B18" s="785" t="s">
        <v>689</v>
      </c>
      <c r="C18" s="929" t="s">
        <v>603</v>
      </c>
      <c r="D18" s="363" t="s">
        <v>625</v>
      </c>
      <c r="E18" s="229">
        <v>23</v>
      </c>
      <c r="F18" s="363" t="s">
        <v>625</v>
      </c>
      <c r="G18" s="404">
        <v>23</v>
      </c>
      <c r="H18" s="252"/>
      <c r="I18" s="363" t="s">
        <v>625</v>
      </c>
      <c r="J18" s="229">
        <v>23</v>
      </c>
      <c r="K18" s="363" t="s">
        <v>625</v>
      </c>
      <c r="L18" s="404">
        <v>23</v>
      </c>
    </row>
    <row r="19" spans="1:12" ht="15.75" thickBot="1" x14ac:dyDescent="0.3">
      <c r="A19" s="199" t="s">
        <v>476</v>
      </c>
      <c r="B19" s="199" t="s">
        <v>477</v>
      </c>
      <c r="C19" s="200" t="s">
        <v>602</v>
      </c>
      <c r="D19" s="367" t="s">
        <v>625</v>
      </c>
      <c r="E19" s="201">
        <v>8061</v>
      </c>
      <c r="F19" s="367" t="s">
        <v>625</v>
      </c>
      <c r="G19" s="831">
        <v>8061</v>
      </c>
      <c r="H19" s="252"/>
      <c r="I19" s="367" t="s">
        <v>625</v>
      </c>
      <c r="J19" s="201">
        <v>8061</v>
      </c>
      <c r="K19" s="367" t="s">
        <v>625</v>
      </c>
      <c r="L19" s="831">
        <v>8061</v>
      </c>
    </row>
    <row r="20" spans="1:12" ht="15.75" thickBot="1" x14ac:dyDescent="0.3">
      <c r="A20" s="273" t="s">
        <v>355</v>
      </c>
      <c r="B20" s="273" t="s">
        <v>370</v>
      </c>
      <c r="C20" s="639"/>
      <c r="D20" s="373" t="s">
        <v>625</v>
      </c>
      <c r="E20" s="272">
        <v>8084</v>
      </c>
      <c r="F20" s="272" t="s">
        <v>625</v>
      </c>
      <c r="G20" s="272">
        <v>8084</v>
      </c>
      <c r="H20" s="252"/>
      <c r="I20" s="373" t="s">
        <v>625</v>
      </c>
      <c r="J20" s="272">
        <v>8084</v>
      </c>
      <c r="K20" s="272" t="s">
        <v>625</v>
      </c>
      <c r="L20" s="272">
        <v>8084</v>
      </c>
    </row>
    <row r="21" spans="1:12" x14ac:dyDescent="0.25">
      <c r="A21" s="3"/>
      <c r="B21" s="3"/>
      <c r="C21" s="3"/>
      <c r="D21" s="551"/>
      <c r="E21" s="590"/>
      <c r="F21" s="590"/>
      <c r="G21" s="590"/>
      <c r="H21" s="252"/>
      <c r="I21" s="551"/>
      <c r="J21" s="590"/>
      <c r="K21" s="590"/>
      <c r="L21" s="590"/>
    </row>
    <row r="22" spans="1:12" x14ac:dyDescent="0.25">
      <c r="A22" s="3"/>
      <c r="B22" s="3"/>
      <c r="C22" s="3"/>
      <c r="D22" s="551"/>
      <c r="E22" s="590"/>
      <c r="F22" s="590"/>
      <c r="G22" s="590"/>
      <c r="H22" s="252"/>
      <c r="I22" s="551"/>
      <c r="J22" s="590"/>
      <c r="K22" s="590"/>
      <c r="L22" s="590"/>
    </row>
    <row r="23" spans="1:12" ht="15.75" thickBot="1" x14ac:dyDescent="0.3">
      <c r="A23" s="3"/>
      <c r="B23" s="3"/>
      <c r="C23" s="3"/>
      <c r="D23" s="551"/>
      <c r="E23" s="590"/>
      <c r="F23" s="590"/>
      <c r="G23" s="590"/>
      <c r="H23" s="252"/>
      <c r="I23" s="551"/>
      <c r="J23" s="590"/>
      <c r="K23" s="590"/>
      <c r="L23" s="590"/>
    </row>
    <row r="24" spans="1:12" ht="15.75" thickBot="1" x14ac:dyDescent="0.3">
      <c r="A24" s="380"/>
      <c r="B24" s="380"/>
      <c r="C24" s="1497" t="s">
        <v>0</v>
      </c>
      <c r="D24" s="1503" t="s">
        <v>949</v>
      </c>
      <c r="E24" s="1503"/>
      <c r="F24" s="1503"/>
      <c r="G24" s="1503"/>
      <c r="H24" s="252"/>
      <c r="I24" s="1503" t="s">
        <v>1403</v>
      </c>
      <c r="J24" s="1503"/>
      <c r="K24" s="1503"/>
      <c r="L24" s="1503"/>
    </row>
    <row r="25" spans="1:12" ht="15.75" thickBot="1" x14ac:dyDescent="0.3">
      <c r="A25" s="1502" t="s">
        <v>800</v>
      </c>
      <c r="B25" s="1502" t="s">
        <v>801</v>
      </c>
      <c r="C25" s="1498"/>
      <c r="D25" s="373" t="s">
        <v>351</v>
      </c>
      <c r="E25" s="373" t="s">
        <v>352</v>
      </c>
      <c r="F25" s="373" t="s">
        <v>353</v>
      </c>
      <c r="G25" s="373" t="s">
        <v>50</v>
      </c>
      <c r="H25" s="252"/>
      <c r="I25" s="373" t="s">
        <v>351</v>
      </c>
      <c r="J25" s="373" t="s">
        <v>352</v>
      </c>
      <c r="K25" s="373" t="s">
        <v>353</v>
      </c>
      <c r="L25" s="373" t="s">
        <v>50</v>
      </c>
    </row>
    <row r="26" spans="1:12" ht="23.25" thickBot="1" x14ac:dyDescent="0.3">
      <c r="A26" s="1502"/>
      <c r="B26" s="1502"/>
      <c r="C26" s="275" t="s">
        <v>465</v>
      </c>
      <c r="D26" s="373" t="s">
        <v>473</v>
      </c>
      <c r="E26" s="373" t="s">
        <v>474</v>
      </c>
      <c r="F26" s="373" t="s">
        <v>475</v>
      </c>
      <c r="G26" s="373" t="s">
        <v>472</v>
      </c>
      <c r="H26" s="252"/>
      <c r="I26" s="373" t="s">
        <v>473</v>
      </c>
      <c r="J26" s="373" t="s">
        <v>474</v>
      </c>
      <c r="K26" s="373" t="s">
        <v>475</v>
      </c>
      <c r="L26" s="373" t="s">
        <v>472</v>
      </c>
    </row>
    <row r="27" spans="1:12" x14ac:dyDescent="0.25">
      <c r="A27" s="810" t="s">
        <v>123</v>
      </c>
      <c r="B27" s="810" t="s">
        <v>367</v>
      </c>
      <c r="C27" s="378"/>
      <c r="D27" s="99"/>
      <c r="E27" s="99"/>
      <c r="F27" s="99"/>
      <c r="G27" s="105"/>
      <c r="H27" s="252"/>
      <c r="I27" s="99"/>
      <c r="J27" s="99"/>
      <c r="K27" s="99"/>
      <c r="L27" s="105"/>
    </row>
    <row r="28" spans="1:12" ht="22.5" x14ac:dyDescent="0.2">
      <c r="A28" s="179" t="s">
        <v>1369</v>
      </c>
      <c r="B28" s="240" t="s">
        <v>371</v>
      </c>
      <c r="C28" s="923"/>
      <c r="D28" s="363"/>
      <c r="E28" s="363"/>
      <c r="F28" s="363"/>
      <c r="G28" s="924"/>
      <c r="H28" s="252"/>
      <c r="I28" s="363"/>
      <c r="J28" s="363"/>
      <c r="K28" s="363"/>
      <c r="L28" s="924"/>
    </row>
    <row r="29" spans="1:12" x14ac:dyDescent="0.25">
      <c r="A29" s="182" t="s">
        <v>688</v>
      </c>
      <c r="B29" s="182" t="s">
        <v>866</v>
      </c>
      <c r="C29" s="183" t="s">
        <v>603</v>
      </c>
      <c r="D29" s="362" t="s">
        <v>625</v>
      </c>
      <c r="E29" s="184">
        <v>3980</v>
      </c>
      <c r="F29" s="362" t="s">
        <v>625</v>
      </c>
      <c r="G29" s="390">
        <v>3980</v>
      </c>
      <c r="H29" s="252"/>
      <c r="I29" s="362" t="s">
        <v>625</v>
      </c>
      <c r="J29" s="184">
        <v>3980</v>
      </c>
      <c r="K29" s="362" t="s">
        <v>625</v>
      </c>
      <c r="L29" s="390">
        <v>3980</v>
      </c>
    </row>
    <row r="30" spans="1:12" ht="23.25" thickBot="1" x14ac:dyDescent="0.25">
      <c r="A30" s="199" t="s">
        <v>808</v>
      </c>
      <c r="B30" s="223" t="s">
        <v>809</v>
      </c>
      <c r="C30" s="218" t="s">
        <v>603</v>
      </c>
      <c r="D30" s="382" t="s">
        <v>625</v>
      </c>
      <c r="E30" s="219">
        <v>2154</v>
      </c>
      <c r="F30" s="382" t="s">
        <v>625</v>
      </c>
      <c r="G30" s="922">
        <v>2154</v>
      </c>
      <c r="H30" s="252"/>
      <c r="I30" s="382" t="s">
        <v>625</v>
      </c>
      <c r="J30" s="219">
        <v>2154</v>
      </c>
      <c r="K30" s="382" t="s">
        <v>625</v>
      </c>
      <c r="L30" s="922">
        <v>2154</v>
      </c>
    </row>
    <row r="31" spans="1:12" x14ac:dyDescent="0.25">
      <c r="A31" s="259" t="s">
        <v>354</v>
      </c>
      <c r="B31" s="259" t="s">
        <v>368</v>
      </c>
      <c r="C31" s="261"/>
      <c r="D31" s="383" t="s">
        <v>625</v>
      </c>
      <c r="E31" s="258">
        <v>6134</v>
      </c>
      <c r="F31" s="258" t="s">
        <v>625</v>
      </c>
      <c r="G31" s="258">
        <v>6134</v>
      </c>
      <c r="H31" s="252"/>
      <c r="I31" s="383" t="s">
        <v>625</v>
      </c>
      <c r="J31" s="258">
        <v>6134</v>
      </c>
      <c r="K31" s="258" t="s">
        <v>625</v>
      </c>
      <c r="L31" s="258">
        <v>6134</v>
      </c>
    </row>
    <row r="32" spans="1:12" x14ac:dyDescent="0.25">
      <c r="A32" s="255" t="s">
        <v>124</v>
      </c>
      <c r="B32" s="255" t="s">
        <v>369</v>
      </c>
      <c r="C32" s="925"/>
      <c r="D32" s="367"/>
      <c r="E32" s="367"/>
      <c r="F32" s="367"/>
      <c r="G32" s="926"/>
      <c r="H32" s="252"/>
      <c r="I32" s="367"/>
      <c r="J32" s="367"/>
      <c r="K32" s="367"/>
      <c r="L32" s="926"/>
    </row>
    <row r="33" spans="1:12" ht="22.5" x14ac:dyDescent="0.2">
      <c r="A33" s="191" t="s">
        <v>1370</v>
      </c>
      <c r="B33" s="231" t="s">
        <v>398</v>
      </c>
      <c r="C33" s="927"/>
      <c r="D33" s="99"/>
      <c r="E33" s="99"/>
      <c r="F33" s="99"/>
      <c r="G33" s="105"/>
      <c r="H33" s="252"/>
      <c r="I33" s="99"/>
      <c r="J33" s="99"/>
      <c r="K33" s="99"/>
      <c r="L33" s="105"/>
    </row>
    <row r="34" spans="1:12" x14ac:dyDescent="0.25">
      <c r="A34" s="928" t="s">
        <v>688</v>
      </c>
      <c r="B34" s="785" t="s">
        <v>689</v>
      </c>
      <c r="C34" s="929" t="s">
        <v>603</v>
      </c>
      <c r="D34" s="363" t="s">
        <v>625</v>
      </c>
      <c r="E34" s="229">
        <v>23</v>
      </c>
      <c r="F34" s="363" t="s">
        <v>625</v>
      </c>
      <c r="G34" s="404">
        <v>23</v>
      </c>
      <c r="H34" s="252"/>
      <c r="I34" s="363" t="s">
        <v>625</v>
      </c>
      <c r="J34" s="229">
        <v>23</v>
      </c>
      <c r="K34" s="363" t="s">
        <v>625</v>
      </c>
      <c r="L34" s="404">
        <v>23</v>
      </c>
    </row>
    <row r="35" spans="1:12" ht="15.75" thickBot="1" x14ac:dyDescent="0.3">
      <c r="A35" s="199" t="s">
        <v>476</v>
      </c>
      <c r="B35" s="199" t="s">
        <v>477</v>
      </c>
      <c r="C35" s="200" t="s">
        <v>602</v>
      </c>
      <c r="D35" s="367" t="s">
        <v>625</v>
      </c>
      <c r="E35" s="201">
        <v>11563</v>
      </c>
      <c r="F35" s="367" t="s">
        <v>625</v>
      </c>
      <c r="G35" s="831">
        <v>11563</v>
      </c>
      <c r="H35" s="252"/>
      <c r="I35" s="367" t="s">
        <v>625</v>
      </c>
      <c r="J35" s="201">
        <v>11563</v>
      </c>
      <c r="K35" s="367" t="s">
        <v>625</v>
      </c>
      <c r="L35" s="831">
        <v>11563</v>
      </c>
    </row>
    <row r="36" spans="1:12" ht="15.75" thickBot="1" x14ac:dyDescent="0.3">
      <c r="A36" s="273" t="s">
        <v>355</v>
      </c>
      <c r="B36" s="273" t="s">
        <v>370</v>
      </c>
      <c r="C36" s="275"/>
      <c r="D36" s="373" t="s">
        <v>625</v>
      </c>
      <c r="E36" s="272">
        <v>11586</v>
      </c>
      <c r="F36" s="272" t="s">
        <v>625</v>
      </c>
      <c r="G36" s="272">
        <v>11586</v>
      </c>
      <c r="H36" s="252"/>
      <c r="I36" s="373" t="s">
        <v>625</v>
      </c>
      <c r="J36" s="272">
        <v>11586</v>
      </c>
      <c r="K36" s="272" t="s">
        <v>625</v>
      </c>
      <c r="L36" s="272">
        <v>11586</v>
      </c>
    </row>
    <row r="37" spans="1:12" x14ac:dyDescent="0.25">
      <c r="A37" s="3"/>
      <c r="B37" s="3"/>
      <c r="C37" s="3"/>
      <c r="D37" s="3"/>
      <c r="I37" s="3"/>
    </row>
  </sheetData>
  <sheetProtection algorithmName="SHA-512" hashValue="6L9/gKOJaiMsZo6O8iBuuVkZWQPJ1QpmJl5Fm/mq8FJluwdSPrNoC4ylxuCLuNhWS1QkefW3Di8/D1kcJ+x0kw==" saltValue="tQnsblHqHCkCLYVh7bLvkw==" spinCount="100000" sheet="1" objects="1" scenarios="1"/>
  <mergeCells count="10">
    <mergeCell ref="C7:C8"/>
    <mergeCell ref="D7:G7"/>
    <mergeCell ref="I7:L7"/>
    <mergeCell ref="A8:A9"/>
    <mergeCell ref="B8:B9"/>
    <mergeCell ref="A25:A26"/>
    <mergeCell ref="B25:B26"/>
    <mergeCell ref="D24:G24"/>
    <mergeCell ref="I24:L24"/>
    <mergeCell ref="C24:C25"/>
  </mergeCells>
  <pageMargins left="0.70866141732283472" right="0.70866141732283472"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4"/>
  <sheetViews>
    <sheetView showGridLines="0" zoomScaleNormal="100" workbookViewId="0">
      <pane ySplit="2" topLeftCell="A3" activePane="bottomLeft" state="frozen"/>
      <selection pane="bottomLeft" activeCell="A3" sqref="A3"/>
    </sheetView>
  </sheetViews>
  <sheetFormatPr defaultColWidth="9.140625" defaultRowHeight="15" outlineLevelCol="1" x14ac:dyDescent="0.25"/>
  <cols>
    <col min="1" max="1" width="46.5703125" style="50" customWidth="1"/>
    <col min="2" max="2" width="41.140625" style="50" customWidth="1" outlineLevel="1"/>
    <col min="3" max="3" width="14.28515625" style="50" customWidth="1" outlineLevel="1"/>
    <col min="4" max="4" width="11.5703125" style="50" customWidth="1"/>
    <col min="5" max="5" width="13.5703125" style="50" customWidth="1"/>
    <col min="6" max="6" width="13.28515625" style="50" customWidth="1"/>
    <col min="7" max="8" width="15.85546875" style="50" customWidth="1"/>
    <col min="9" max="9" width="11.5703125" style="50" customWidth="1"/>
    <col min="10" max="10" width="9.140625" style="50"/>
    <col min="11" max="15" width="11.42578125" style="50" customWidth="1"/>
    <col min="16" max="16384" width="9.140625" style="50"/>
  </cols>
  <sheetData>
    <row r="1" spans="1:15" x14ac:dyDescent="0.25">
      <c r="A1" s="60" t="str">
        <f>'Key Figures'!A1</f>
        <v>LATVENERGO KONCERNA KONSOLIDĒTIE un</v>
      </c>
      <c r="B1" s="60" t="str">
        <f>'Key Figures'!B1</f>
        <v>LATVENERGO GROUP CONSOLIDATED and</v>
      </c>
      <c r="C1" s="60"/>
    </row>
    <row r="2" spans="1:15" x14ac:dyDescent="0.25">
      <c r="A2" s="60" t="str">
        <f>'Key Figures'!A2</f>
        <v>AS „LATVENERGO” 2017. GADA FINANŠU PĀRSKATI</v>
      </c>
      <c r="B2" s="60" t="str">
        <f>'Key Figures'!B2</f>
        <v>LATVENERGO AS FINANCIAL STATEMENTS 2017</v>
      </c>
      <c r="C2" s="28"/>
      <c r="D2" s="28"/>
    </row>
    <row r="3" spans="1:15" s="37" customFormat="1" ht="15.75" x14ac:dyDescent="0.25">
      <c r="A3" s="63" t="s">
        <v>1101</v>
      </c>
      <c r="B3" s="63" t="s">
        <v>1653</v>
      </c>
      <c r="C3" s="36"/>
    </row>
    <row r="4" spans="1:15" ht="15.75" x14ac:dyDescent="0.25">
      <c r="A4" s="63"/>
      <c r="B4" s="36"/>
      <c r="C4" s="36"/>
      <c r="I4" s="22"/>
    </row>
    <row r="6" spans="1:15" ht="15.75" thickBot="1" x14ac:dyDescent="0.25">
      <c r="O6" s="1208" t="s">
        <v>1</v>
      </c>
    </row>
    <row r="7" spans="1:15" ht="15.75" thickBot="1" x14ac:dyDescent="0.3">
      <c r="A7" s="828"/>
      <c r="B7" s="828"/>
      <c r="C7" s="1506" t="s">
        <v>954</v>
      </c>
      <c r="D7" s="1506"/>
      <c r="E7" s="1506"/>
      <c r="F7" s="1506"/>
      <c r="G7" s="1506"/>
      <c r="H7" s="1506"/>
      <c r="I7" s="1506"/>
      <c r="K7" s="1506" t="s">
        <v>1403</v>
      </c>
      <c r="L7" s="1506"/>
      <c r="M7" s="1506"/>
      <c r="N7" s="1506"/>
      <c r="O7" s="1506"/>
    </row>
    <row r="8" spans="1:15" ht="18" customHeight="1" x14ac:dyDescent="0.25">
      <c r="A8" s="1514"/>
      <c r="B8" s="1514"/>
      <c r="C8" s="1507" t="s">
        <v>822</v>
      </c>
      <c r="D8" s="1507" t="s">
        <v>59</v>
      </c>
      <c r="E8" s="1507" t="s">
        <v>745</v>
      </c>
      <c r="F8" s="1507" t="s">
        <v>60</v>
      </c>
      <c r="G8" s="1507" t="s">
        <v>686</v>
      </c>
      <c r="H8" s="1507" t="s">
        <v>61</v>
      </c>
      <c r="I8" s="1507" t="s">
        <v>1322</v>
      </c>
      <c r="K8" s="1507" t="s">
        <v>822</v>
      </c>
      <c r="L8" s="1507" t="s">
        <v>60</v>
      </c>
      <c r="M8" s="1507" t="s">
        <v>686</v>
      </c>
      <c r="N8" s="1507" t="s">
        <v>61</v>
      </c>
      <c r="O8" s="1507" t="s">
        <v>1656</v>
      </c>
    </row>
    <row r="9" spans="1:15" ht="18" customHeight="1" thickBot="1" x14ac:dyDescent="0.3">
      <c r="A9" s="1514"/>
      <c r="B9" s="1514"/>
      <c r="C9" s="1508"/>
      <c r="D9" s="1512"/>
      <c r="E9" s="1512"/>
      <c r="F9" s="1508"/>
      <c r="G9" s="1508" t="s">
        <v>50</v>
      </c>
      <c r="H9" s="1508"/>
      <c r="I9" s="1508"/>
      <c r="K9" s="1508"/>
      <c r="L9" s="1508"/>
      <c r="M9" s="1508" t="s">
        <v>50</v>
      </c>
      <c r="N9" s="1508"/>
      <c r="O9" s="1508"/>
    </row>
    <row r="10" spans="1:15" ht="18" customHeight="1" thickTop="1" x14ac:dyDescent="0.25">
      <c r="A10" s="1514"/>
      <c r="B10" s="1514"/>
      <c r="C10" s="1509" t="s">
        <v>823</v>
      </c>
      <c r="D10" s="1509" t="s">
        <v>824</v>
      </c>
      <c r="E10" s="1509" t="s">
        <v>746</v>
      </c>
      <c r="F10" s="1509" t="s">
        <v>685</v>
      </c>
      <c r="G10" s="1509" t="s">
        <v>280</v>
      </c>
      <c r="H10" s="1509" t="s">
        <v>281</v>
      </c>
      <c r="I10" s="1509" t="s">
        <v>1654</v>
      </c>
      <c r="K10" s="1509" t="s">
        <v>823</v>
      </c>
      <c r="L10" s="1509" t="s">
        <v>685</v>
      </c>
      <c r="M10" s="1509" t="s">
        <v>280</v>
      </c>
      <c r="N10" s="1509" t="s">
        <v>281</v>
      </c>
      <c r="O10" s="1509" t="s">
        <v>1655</v>
      </c>
    </row>
    <row r="11" spans="1:15" ht="18" customHeight="1" thickBot="1" x14ac:dyDescent="0.3">
      <c r="A11" s="1514"/>
      <c r="B11" s="1514"/>
      <c r="C11" s="1508"/>
      <c r="D11" s="1508"/>
      <c r="E11" s="1508"/>
      <c r="F11" s="1508" t="s">
        <v>279</v>
      </c>
      <c r="G11" s="1508"/>
      <c r="H11" s="1508"/>
      <c r="I11" s="1508"/>
      <c r="K11" s="1508"/>
      <c r="L11" s="1508" t="s">
        <v>279</v>
      </c>
      <c r="M11" s="1508"/>
      <c r="N11" s="1508"/>
      <c r="O11" s="1508"/>
    </row>
    <row r="12" spans="1:15" x14ac:dyDescent="0.25">
      <c r="A12" s="385" t="s">
        <v>962</v>
      </c>
      <c r="B12" s="385" t="s">
        <v>963</v>
      </c>
      <c r="C12" s="386"/>
      <c r="D12" s="386"/>
      <c r="E12" s="386"/>
      <c r="F12" s="386"/>
      <c r="G12" s="386"/>
      <c r="H12" s="386"/>
      <c r="I12" s="386"/>
      <c r="K12" s="386"/>
      <c r="L12" s="386"/>
      <c r="M12" s="386"/>
      <c r="N12" s="386"/>
      <c r="O12" s="386"/>
    </row>
    <row r="13" spans="1:15" x14ac:dyDescent="0.25">
      <c r="A13" s="387"/>
      <c r="B13" s="387"/>
      <c r="C13" s="386"/>
      <c r="D13" s="386"/>
      <c r="E13" s="386"/>
      <c r="F13" s="386"/>
      <c r="G13" s="386"/>
      <c r="H13" s="386"/>
      <c r="I13" s="386"/>
      <c r="K13" s="386"/>
      <c r="L13" s="386"/>
      <c r="M13" s="386"/>
      <c r="N13" s="386"/>
      <c r="O13" s="386"/>
    </row>
    <row r="14" spans="1:15" x14ac:dyDescent="0.25">
      <c r="A14" s="392" t="s">
        <v>2</v>
      </c>
      <c r="B14" s="392" t="s">
        <v>194</v>
      </c>
      <c r="C14" s="829"/>
      <c r="D14" s="829"/>
      <c r="E14" s="829"/>
      <c r="F14" s="829"/>
      <c r="G14" s="830"/>
      <c r="H14" s="829"/>
      <c r="I14" s="830"/>
      <c r="K14" s="829"/>
      <c r="L14" s="829"/>
      <c r="M14" s="830"/>
      <c r="N14" s="829"/>
      <c r="O14" s="830"/>
    </row>
    <row r="15" spans="1:15" x14ac:dyDescent="0.25">
      <c r="A15" s="292" t="s">
        <v>62</v>
      </c>
      <c r="B15" s="292" t="s">
        <v>240</v>
      </c>
      <c r="C15" s="279">
        <v>554489</v>
      </c>
      <c r="D15" s="279">
        <v>318851</v>
      </c>
      <c r="E15" s="279">
        <v>44415</v>
      </c>
      <c r="F15" s="279">
        <v>7872</v>
      </c>
      <c r="G15" s="343">
        <v>925627</v>
      </c>
      <c r="H15" s="279" t="s">
        <v>572</v>
      </c>
      <c r="I15" s="343">
        <v>925627</v>
      </c>
      <c r="K15" s="279">
        <v>448660</v>
      </c>
      <c r="L15" s="279">
        <v>49920</v>
      </c>
      <c r="M15" s="343">
        <v>498580</v>
      </c>
      <c r="N15" s="279" t="s">
        <v>572</v>
      </c>
      <c r="O15" s="343">
        <v>498580</v>
      </c>
    </row>
    <row r="16" spans="1:15" ht="15.75" thickBot="1" x14ac:dyDescent="0.3">
      <c r="A16" s="423" t="s">
        <v>63</v>
      </c>
      <c r="B16" s="423" t="s">
        <v>687</v>
      </c>
      <c r="C16" s="278">
        <v>1605</v>
      </c>
      <c r="D16" s="278">
        <v>1851</v>
      </c>
      <c r="E16" s="278">
        <v>2541</v>
      </c>
      <c r="F16" s="278">
        <v>52739</v>
      </c>
      <c r="G16" s="765">
        <v>58736</v>
      </c>
      <c r="H16" s="278">
        <v>-58736</v>
      </c>
      <c r="I16" s="765" t="s">
        <v>572</v>
      </c>
      <c r="K16" s="278">
        <v>346</v>
      </c>
      <c r="L16" s="278">
        <v>29089</v>
      </c>
      <c r="M16" s="765">
        <v>29435</v>
      </c>
      <c r="N16" s="278">
        <v>-29435</v>
      </c>
      <c r="O16" s="765" t="s">
        <v>572</v>
      </c>
    </row>
    <row r="17" spans="1:15" x14ac:dyDescent="0.25">
      <c r="A17" s="832" t="s">
        <v>64</v>
      </c>
      <c r="B17" s="832" t="s">
        <v>283</v>
      </c>
      <c r="C17" s="452">
        <v>556094</v>
      </c>
      <c r="D17" s="452">
        <v>320702</v>
      </c>
      <c r="E17" s="452">
        <v>46956</v>
      </c>
      <c r="F17" s="452">
        <v>60611</v>
      </c>
      <c r="G17" s="452">
        <v>984363</v>
      </c>
      <c r="H17" s="452">
        <v>-58736</v>
      </c>
      <c r="I17" s="452">
        <v>925627</v>
      </c>
      <c r="K17" s="452">
        <v>449006</v>
      </c>
      <c r="L17" s="452">
        <v>79009</v>
      </c>
      <c r="M17" s="452">
        <v>528015</v>
      </c>
      <c r="N17" s="452">
        <v>-29435</v>
      </c>
      <c r="O17" s="452">
        <v>498580</v>
      </c>
    </row>
    <row r="18" spans="1:15" x14ac:dyDescent="0.25">
      <c r="A18" s="388"/>
      <c r="B18" s="388"/>
      <c r="C18" s="388"/>
      <c r="D18" s="388"/>
      <c r="E18" s="388"/>
      <c r="F18" s="388"/>
      <c r="G18" s="388"/>
      <c r="H18" s="388"/>
      <c r="I18" s="388"/>
      <c r="K18" s="388"/>
      <c r="L18" s="388"/>
      <c r="M18" s="388"/>
      <c r="N18" s="388"/>
      <c r="O18" s="388"/>
    </row>
    <row r="19" spans="1:15" x14ac:dyDescent="0.25">
      <c r="A19" s="392" t="s">
        <v>65</v>
      </c>
      <c r="B19" s="392" t="s">
        <v>241</v>
      </c>
      <c r="C19" s="393"/>
      <c r="D19" s="393"/>
      <c r="E19" s="393"/>
      <c r="F19" s="393"/>
      <c r="G19" s="394"/>
      <c r="H19" s="393"/>
      <c r="I19" s="394"/>
      <c r="K19" s="393"/>
      <c r="L19" s="393"/>
      <c r="M19" s="394"/>
      <c r="N19" s="393"/>
      <c r="O19" s="394"/>
    </row>
    <row r="20" spans="1:15" ht="22.5" x14ac:dyDescent="0.2">
      <c r="A20" s="292" t="s">
        <v>787</v>
      </c>
      <c r="B20" s="292" t="s">
        <v>788</v>
      </c>
      <c r="C20" s="418">
        <v>-194376</v>
      </c>
      <c r="D20" s="418">
        <v>-76630</v>
      </c>
      <c r="E20" s="418">
        <v>-24345</v>
      </c>
      <c r="F20" s="418">
        <v>-12263</v>
      </c>
      <c r="G20" s="546">
        <v>-307614</v>
      </c>
      <c r="H20" s="418" t="s">
        <v>572</v>
      </c>
      <c r="I20" s="546">
        <v>-307614</v>
      </c>
      <c r="K20" s="418">
        <v>-191228</v>
      </c>
      <c r="L20" s="418">
        <v>-18456</v>
      </c>
      <c r="M20" s="546">
        <v>-209684</v>
      </c>
      <c r="N20" s="418" t="s">
        <v>572</v>
      </c>
      <c r="O20" s="546">
        <v>-209684</v>
      </c>
    </row>
    <row r="21" spans="1:15" x14ac:dyDescent="0.25">
      <c r="A21" s="1399" t="s">
        <v>789</v>
      </c>
      <c r="B21" s="1399" t="s">
        <v>867</v>
      </c>
      <c r="C21" s="1400">
        <v>178453</v>
      </c>
      <c r="D21" s="1400">
        <v>34969</v>
      </c>
      <c r="E21" s="1400">
        <v>20960</v>
      </c>
      <c r="F21" s="1400">
        <v>-300</v>
      </c>
      <c r="G21" s="1400">
        <v>234082</v>
      </c>
      <c r="H21" s="1400">
        <v>-9968</v>
      </c>
      <c r="I21" s="1400">
        <v>224114</v>
      </c>
      <c r="J21" s="1130"/>
      <c r="K21" s="1400">
        <v>171306</v>
      </c>
      <c r="L21" s="1400">
        <v>6110</v>
      </c>
      <c r="M21" s="1400">
        <v>177416</v>
      </c>
      <c r="N21" s="1400">
        <v>8490</v>
      </c>
      <c r="O21" s="1400">
        <v>185906</v>
      </c>
    </row>
    <row r="22" spans="1:15" x14ac:dyDescent="0.25">
      <c r="A22" s="1399" t="s">
        <v>66</v>
      </c>
      <c r="B22" s="1399" t="s">
        <v>405</v>
      </c>
      <c r="C22" s="1400">
        <v>1956888</v>
      </c>
      <c r="D22" s="1400">
        <v>1641318</v>
      </c>
      <c r="E22" s="1400">
        <v>500863</v>
      </c>
      <c r="F22" s="1400">
        <v>85584</v>
      </c>
      <c r="G22" s="1400">
        <v>4184653</v>
      </c>
      <c r="H22" s="1400">
        <v>231072</v>
      </c>
      <c r="I22" s="1400">
        <v>4415725</v>
      </c>
      <c r="J22" s="1130"/>
      <c r="K22" s="1400">
        <v>1286478</v>
      </c>
      <c r="L22" s="1400">
        <v>192435</v>
      </c>
      <c r="M22" s="1400">
        <v>1478913</v>
      </c>
      <c r="N22" s="1400">
        <v>2170287</v>
      </c>
      <c r="O22" s="1400">
        <v>3649200</v>
      </c>
    </row>
    <row r="23" spans="1:15" x14ac:dyDescent="0.25">
      <c r="A23" s="1399" t="s">
        <v>67</v>
      </c>
      <c r="B23" s="1399" t="s">
        <v>406</v>
      </c>
      <c r="C23" s="1400">
        <v>393759</v>
      </c>
      <c r="D23" s="1400">
        <v>188025</v>
      </c>
      <c r="E23" s="1400">
        <v>67502</v>
      </c>
      <c r="F23" s="1400">
        <v>6551</v>
      </c>
      <c r="G23" s="1400">
        <v>655837</v>
      </c>
      <c r="H23" s="1400">
        <v>912997</v>
      </c>
      <c r="I23" s="1400">
        <v>1568834</v>
      </c>
      <c r="J23" s="1130"/>
      <c r="K23" s="1400">
        <v>383708</v>
      </c>
      <c r="L23" s="1400">
        <v>8695</v>
      </c>
      <c r="M23" s="1400">
        <v>392403</v>
      </c>
      <c r="N23" s="1400">
        <v>874159</v>
      </c>
      <c r="O23" s="1400">
        <v>1266562</v>
      </c>
    </row>
    <row r="24" spans="1:15" ht="15.75" thickBot="1" x14ac:dyDescent="0.3">
      <c r="A24" s="399" t="s">
        <v>68</v>
      </c>
      <c r="B24" s="399" t="s">
        <v>242</v>
      </c>
      <c r="C24" s="400">
        <v>74021</v>
      </c>
      <c r="D24" s="400">
        <v>107683</v>
      </c>
      <c r="E24" s="400">
        <v>63085</v>
      </c>
      <c r="F24" s="400">
        <v>10815</v>
      </c>
      <c r="G24" s="401">
        <v>255604</v>
      </c>
      <c r="H24" s="400">
        <v>-11793</v>
      </c>
      <c r="I24" s="401">
        <v>243811</v>
      </c>
      <c r="K24" s="400">
        <v>73150</v>
      </c>
      <c r="L24" s="400">
        <v>16128</v>
      </c>
      <c r="M24" s="401">
        <v>89278</v>
      </c>
      <c r="N24" s="400" t="s">
        <v>572</v>
      </c>
      <c r="O24" s="401">
        <v>89278</v>
      </c>
    </row>
    <row r="25" spans="1:15" x14ac:dyDescent="0.25">
      <c r="A25" s="396"/>
      <c r="B25" s="396"/>
      <c r="C25" s="397"/>
      <c r="D25" s="397"/>
      <c r="E25" s="397"/>
      <c r="F25" s="397"/>
      <c r="G25" s="398"/>
      <c r="H25" s="397"/>
      <c r="I25" s="398"/>
      <c r="K25" s="397"/>
      <c r="L25" s="397"/>
      <c r="M25" s="398"/>
      <c r="N25" s="397"/>
      <c r="O25" s="398"/>
    </row>
    <row r="26" spans="1:15" x14ac:dyDescent="0.25">
      <c r="A26" s="385" t="s">
        <v>797</v>
      </c>
      <c r="B26" s="385" t="s">
        <v>798</v>
      </c>
      <c r="C26" s="386"/>
      <c r="D26" s="386"/>
      <c r="E26" s="386"/>
      <c r="F26" s="386"/>
      <c r="G26" s="386"/>
      <c r="H26" s="386"/>
      <c r="I26" s="386"/>
      <c r="K26" s="386"/>
      <c r="L26" s="386"/>
      <c r="M26" s="386"/>
      <c r="N26" s="386"/>
      <c r="O26" s="386"/>
    </row>
    <row r="27" spans="1:15" x14ac:dyDescent="0.25">
      <c r="A27" s="387"/>
      <c r="B27" s="387"/>
      <c r="C27" s="386"/>
      <c r="D27" s="386"/>
      <c r="E27" s="386"/>
      <c r="F27" s="386"/>
      <c r="G27" s="386"/>
      <c r="H27" s="386"/>
      <c r="I27" s="386"/>
      <c r="K27" s="386"/>
      <c r="L27" s="386"/>
      <c r="M27" s="386"/>
      <c r="N27" s="386"/>
      <c r="O27" s="386"/>
    </row>
    <row r="28" spans="1:15" x14ac:dyDescent="0.25">
      <c r="A28" s="392" t="s">
        <v>2</v>
      </c>
      <c r="B28" s="392" t="s">
        <v>194</v>
      </c>
      <c r="C28" s="829"/>
      <c r="D28" s="829"/>
      <c r="E28" s="829"/>
      <c r="F28" s="829"/>
      <c r="G28" s="830"/>
      <c r="H28" s="829"/>
      <c r="I28" s="830"/>
      <c r="K28" s="829"/>
      <c r="L28" s="829"/>
      <c r="M28" s="830"/>
      <c r="N28" s="829"/>
      <c r="O28" s="830"/>
    </row>
    <row r="29" spans="1:15" x14ac:dyDescent="0.25">
      <c r="A29" s="292" t="s">
        <v>62</v>
      </c>
      <c r="B29" s="292" t="s">
        <v>240</v>
      </c>
      <c r="C29" s="229">
        <v>570828</v>
      </c>
      <c r="D29" s="229">
        <v>306700</v>
      </c>
      <c r="E29" s="229">
        <v>45879</v>
      </c>
      <c r="F29" s="229">
        <v>8212</v>
      </c>
      <c r="G29" s="404">
        <v>931619</v>
      </c>
      <c r="H29" s="279" t="s">
        <v>625</v>
      </c>
      <c r="I29" s="404">
        <v>931619</v>
      </c>
      <c r="K29" s="229">
        <v>464928</v>
      </c>
      <c r="L29" s="229">
        <v>48635</v>
      </c>
      <c r="M29" s="404">
        <v>513563</v>
      </c>
      <c r="N29" s="279" t="s">
        <v>572</v>
      </c>
      <c r="O29" s="404">
        <v>513563</v>
      </c>
    </row>
    <row r="30" spans="1:15" ht="15.75" thickBot="1" x14ac:dyDescent="0.3">
      <c r="A30" s="423" t="s">
        <v>63</v>
      </c>
      <c r="B30" s="423" t="s">
        <v>687</v>
      </c>
      <c r="C30" s="201">
        <v>13310</v>
      </c>
      <c r="D30" s="201">
        <v>1712</v>
      </c>
      <c r="E30" s="201">
        <v>2538</v>
      </c>
      <c r="F30" s="201">
        <v>46330</v>
      </c>
      <c r="G30" s="831">
        <v>63890</v>
      </c>
      <c r="H30" s="278">
        <v>-63890</v>
      </c>
      <c r="I30" s="831" t="s">
        <v>625</v>
      </c>
      <c r="K30" s="201">
        <v>342</v>
      </c>
      <c r="L30" s="201">
        <v>23060</v>
      </c>
      <c r="M30" s="831">
        <v>23402</v>
      </c>
      <c r="N30" s="278">
        <v>-23402</v>
      </c>
      <c r="O30" s="831" t="s">
        <v>572</v>
      </c>
    </row>
    <row r="31" spans="1:15" x14ac:dyDescent="0.25">
      <c r="A31" s="832" t="s">
        <v>64</v>
      </c>
      <c r="B31" s="832" t="s">
        <v>283</v>
      </c>
      <c r="C31" s="452">
        <v>584138</v>
      </c>
      <c r="D31" s="452">
        <v>308412</v>
      </c>
      <c r="E31" s="452">
        <v>48417</v>
      </c>
      <c r="F31" s="452">
        <v>54542</v>
      </c>
      <c r="G31" s="452">
        <v>995509</v>
      </c>
      <c r="H31" s="452">
        <v>-63890</v>
      </c>
      <c r="I31" s="452">
        <v>931619</v>
      </c>
      <c r="K31" s="452">
        <v>465270</v>
      </c>
      <c r="L31" s="452">
        <v>71695</v>
      </c>
      <c r="M31" s="452">
        <v>536965</v>
      </c>
      <c r="N31" s="452">
        <v>-23402</v>
      </c>
      <c r="O31" s="452">
        <v>513563</v>
      </c>
    </row>
    <row r="32" spans="1:15" x14ac:dyDescent="0.25">
      <c r="A32" s="388"/>
      <c r="B32" s="388"/>
      <c r="C32" s="388"/>
      <c r="D32" s="388"/>
      <c r="E32" s="388"/>
      <c r="F32" s="388"/>
      <c r="G32" s="388"/>
      <c r="H32" s="388"/>
      <c r="I32" s="388"/>
      <c r="K32" s="388"/>
      <c r="L32" s="388"/>
      <c r="M32" s="388"/>
      <c r="N32" s="388"/>
      <c r="O32" s="388"/>
    </row>
    <row r="33" spans="1:15" x14ac:dyDescent="0.25">
      <c r="A33" s="392" t="s">
        <v>65</v>
      </c>
      <c r="B33" s="392" t="s">
        <v>241</v>
      </c>
      <c r="C33" s="393"/>
      <c r="D33" s="393"/>
      <c r="E33" s="393"/>
      <c r="F33" s="393"/>
      <c r="G33" s="394"/>
      <c r="H33" s="393"/>
      <c r="I33" s="394"/>
      <c r="K33" s="393"/>
      <c r="L33" s="393"/>
      <c r="M33" s="394"/>
      <c r="N33" s="393"/>
      <c r="O33" s="394"/>
    </row>
    <row r="34" spans="1:15" ht="22.5" x14ac:dyDescent="0.2">
      <c r="A34" s="292" t="s">
        <v>787</v>
      </c>
      <c r="B34" s="292" t="s">
        <v>788</v>
      </c>
      <c r="C34" s="418">
        <v>-86308</v>
      </c>
      <c r="D34" s="418">
        <v>-98317</v>
      </c>
      <c r="E34" s="418">
        <v>-36416</v>
      </c>
      <c r="F34" s="418">
        <v>-11585</v>
      </c>
      <c r="G34" s="546">
        <v>-232626</v>
      </c>
      <c r="H34" s="418" t="s">
        <v>625</v>
      </c>
      <c r="I34" s="546">
        <v>-232626</v>
      </c>
      <c r="K34" s="418">
        <v>-83168</v>
      </c>
      <c r="L34" s="418">
        <v>-17367</v>
      </c>
      <c r="M34" s="546">
        <v>-100535</v>
      </c>
      <c r="N34" s="418" t="s">
        <v>572</v>
      </c>
      <c r="O34" s="546">
        <v>-100535</v>
      </c>
    </row>
    <row r="35" spans="1:15" x14ac:dyDescent="0.25">
      <c r="A35" s="391" t="s">
        <v>789</v>
      </c>
      <c r="B35" s="391" t="s">
        <v>867</v>
      </c>
      <c r="C35" s="390">
        <v>138185</v>
      </c>
      <c r="D35" s="390">
        <v>7154</v>
      </c>
      <c r="E35" s="390">
        <v>10642</v>
      </c>
      <c r="F35" s="390">
        <v>4792</v>
      </c>
      <c r="G35" s="390">
        <v>160773</v>
      </c>
      <c r="H35" s="390">
        <v>-11828</v>
      </c>
      <c r="I35" s="390">
        <v>148945</v>
      </c>
      <c r="K35" s="390">
        <v>130840</v>
      </c>
      <c r="L35" s="390">
        <v>10231</v>
      </c>
      <c r="M35" s="390">
        <v>141071</v>
      </c>
      <c r="N35" s="390">
        <v>15219</v>
      </c>
      <c r="O35" s="390">
        <v>156290</v>
      </c>
    </row>
    <row r="36" spans="1:15" x14ac:dyDescent="0.25">
      <c r="A36" s="391" t="s">
        <v>66</v>
      </c>
      <c r="B36" s="391" t="s">
        <v>405</v>
      </c>
      <c r="C36" s="390">
        <v>1557032</v>
      </c>
      <c r="D36" s="390">
        <v>1629107</v>
      </c>
      <c r="E36" s="390">
        <v>448707</v>
      </c>
      <c r="F36" s="390">
        <v>88431</v>
      </c>
      <c r="G36" s="390">
        <v>3723277</v>
      </c>
      <c r="H36" s="390">
        <v>177954</v>
      </c>
      <c r="I36" s="390">
        <v>3901231</v>
      </c>
      <c r="K36" s="390">
        <v>1372835</v>
      </c>
      <c r="L36" s="390">
        <v>183922</v>
      </c>
      <c r="M36" s="390">
        <v>1556757</v>
      </c>
      <c r="N36" s="390">
        <v>1647637</v>
      </c>
      <c r="O36" s="390">
        <v>3204394</v>
      </c>
    </row>
    <row r="37" spans="1:15" x14ac:dyDescent="0.25">
      <c r="A37" s="391" t="s">
        <v>67</v>
      </c>
      <c r="B37" s="391" t="s">
        <v>406</v>
      </c>
      <c r="C37" s="390">
        <v>63404</v>
      </c>
      <c r="D37" s="390">
        <v>190371</v>
      </c>
      <c r="E37" s="390">
        <v>46218</v>
      </c>
      <c r="F37" s="390">
        <v>7380</v>
      </c>
      <c r="G37" s="390">
        <v>307373</v>
      </c>
      <c r="H37" s="390">
        <v>1175145</v>
      </c>
      <c r="I37" s="390">
        <v>1482518</v>
      </c>
      <c r="K37" s="1400">
        <v>58318</v>
      </c>
      <c r="L37" s="1400">
        <v>20453</v>
      </c>
      <c r="M37" s="1400">
        <v>78771</v>
      </c>
      <c r="N37" s="1400">
        <v>948554</v>
      </c>
      <c r="O37" s="1400">
        <v>1027325</v>
      </c>
    </row>
    <row r="38" spans="1:15" ht="15.75" thickBot="1" x14ac:dyDescent="0.3">
      <c r="A38" s="399" t="s">
        <v>68</v>
      </c>
      <c r="B38" s="399" t="s">
        <v>242</v>
      </c>
      <c r="C38" s="400">
        <v>59964</v>
      </c>
      <c r="D38" s="400">
        <v>106436</v>
      </c>
      <c r="E38" s="400">
        <v>25513</v>
      </c>
      <c r="F38" s="400">
        <v>12664</v>
      </c>
      <c r="G38" s="401">
        <v>204577</v>
      </c>
      <c r="H38" s="400">
        <v>-3900</v>
      </c>
      <c r="I38" s="401">
        <v>200677</v>
      </c>
      <c r="K38" s="400">
        <v>58248</v>
      </c>
      <c r="L38" s="400">
        <v>21665</v>
      </c>
      <c r="M38" s="401">
        <v>79913</v>
      </c>
      <c r="N38" s="400" t="s">
        <v>572</v>
      </c>
      <c r="O38" s="401">
        <v>79913</v>
      </c>
    </row>
    <row r="39" spans="1:15" x14ac:dyDescent="0.25">
      <c r="A39" s="305"/>
      <c r="B39" s="305"/>
      <c r="C39" s="305"/>
      <c r="D39" s="305"/>
      <c r="E39" s="305"/>
      <c r="F39" s="305"/>
      <c r="G39" s="305"/>
      <c r="H39" s="305"/>
      <c r="I39" s="305"/>
    </row>
    <row r="40" spans="1:15" ht="24.75" thickBot="1" x14ac:dyDescent="0.3">
      <c r="A40" s="1401" t="s">
        <v>1391</v>
      </c>
      <c r="B40" s="1401" t="s">
        <v>1392</v>
      </c>
      <c r="C40" s="305"/>
      <c r="D40" s="305"/>
      <c r="E40" s="305"/>
      <c r="F40" s="305"/>
      <c r="G40" s="305"/>
      <c r="H40" s="305"/>
      <c r="I40" s="305"/>
      <c r="N40" s="1208" t="s">
        <v>1</v>
      </c>
      <c r="O40" s="1124"/>
    </row>
    <row r="41" spans="1:15" ht="15.75" thickBot="1" x14ac:dyDescent="0.3">
      <c r="A41" s="828"/>
      <c r="B41" s="828"/>
      <c r="C41" s="1511" t="s">
        <v>954</v>
      </c>
      <c r="D41" s="1511"/>
      <c r="E41" s="1511"/>
      <c r="F41" s="1511"/>
      <c r="G41" s="1511"/>
      <c r="H41" s="1511"/>
      <c r="I41" s="73"/>
      <c r="J41" s="1129"/>
      <c r="K41" s="1511" t="s">
        <v>1403</v>
      </c>
      <c r="L41" s="1511"/>
      <c r="M41" s="1511"/>
      <c r="N41" s="1511"/>
    </row>
    <row r="42" spans="1:15" ht="18" customHeight="1" x14ac:dyDescent="0.25">
      <c r="A42" s="1514"/>
      <c r="B42" s="1514"/>
      <c r="C42" s="1504" t="s">
        <v>822</v>
      </c>
      <c r="D42" s="1504" t="s">
        <v>59</v>
      </c>
      <c r="E42" s="1504" t="s">
        <v>745</v>
      </c>
      <c r="F42" s="1504" t="s">
        <v>60</v>
      </c>
      <c r="G42" s="1504" t="s">
        <v>686</v>
      </c>
      <c r="H42" s="1504" t="s">
        <v>1322</v>
      </c>
      <c r="I42" s="73"/>
      <c r="J42" s="1130"/>
      <c r="K42" s="1504" t="s">
        <v>822</v>
      </c>
      <c r="L42" s="1504" t="s">
        <v>60</v>
      </c>
      <c r="M42" s="1504" t="s">
        <v>686</v>
      </c>
      <c r="N42" s="1504" t="s">
        <v>1656</v>
      </c>
    </row>
    <row r="43" spans="1:15" ht="18" customHeight="1" thickBot="1" x14ac:dyDescent="0.3">
      <c r="A43" s="1514"/>
      <c r="B43" s="1514"/>
      <c r="C43" s="1505"/>
      <c r="D43" s="1513"/>
      <c r="E43" s="1513"/>
      <c r="F43" s="1505"/>
      <c r="G43" s="1505" t="s">
        <v>50</v>
      </c>
      <c r="H43" s="1505"/>
      <c r="I43" s="73"/>
      <c r="J43" s="1130"/>
      <c r="K43" s="1505"/>
      <c r="L43" s="1505"/>
      <c r="M43" s="1505" t="s">
        <v>50</v>
      </c>
      <c r="N43" s="1505"/>
    </row>
    <row r="44" spans="1:15" ht="18" customHeight="1" thickTop="1" x14ac:dyDescent="0.25">
      <c r="A44" s="1514"/>
      <c r="B44" s="1514"/>
      <c r="C44" s="1510" t="s">
        <v>823</v>
      </c>
      <c r="D44" s="1510" t="s">
        <v>824</v>
      </c>
      <c r="E44" s="1510" t="s">
        <v>746</v>
      </c>
      <c r="F44" s="1510" t="s">
        <v>685</v>
      </c>
      <c r="G44" s="1510" t="s">
        <v>280</v>
      </c>
      <c r="H44" s="1510" t="s">
        <v>1654</v>
      </c>
      <c r="I44" s="73"/>
      <c r="J44" s="1130"/>
      <c r="K44" s="1510" t="s">
        <v>823</v>
      </c>
      <c r="L44" s="1510" t="s">
        <v>685</v>
      </c>
      <c r="M44" s="1510" t="s">
        <v>280</v>
      </c>
      <c r="N44" s="1510" t="s">
        <v>1655</v>
      </c>
    </row>
    <row r="45" spans="1:15" ht="18" customHeight="1" thickBot="1" x14ac:dyDescent="0.3">
      <c r="A45" s="1514"/>
      <c r="B45" s="1514"/>
      <c r="C45" s="1505"/>
      <c r="D45" s="1505"/>
      <c r="E45" s="1505"/>
      <c r="F45" s="1505" t="s">
        <v>279</v>
      </c>
      <c r="G45" s="1505"/>
      <c r="H45" s="1505"/>
      <c r="I45" s="73"/>
      <c r="J45" s="1130"/>
      <c r="K45" s="1505"/>
      <c r="L45" s="1505" t="s">
        <v>279</v>
      </c>
      <c r="M45" s="1505"/>
      <c r="N45" s="1505"/>
    </row>
    <row r="46" spans="1:15" x14ac:dyDescent="0.25">
      <c r="A46" s="385" t="s">
        <v>962</v>
      </c>
      <c r="B46" s="385" t="s">
        <v>963</v>
      </c>
      <c r="C46" s="386"/>
      <c r="D46" s="386"/>
      <c r="E46" s="386"/>
      <c r="F46" s="386"/>
      <c r="G46" s="386"/>
      <c r="H46" s="386"/>
      <c r="I46" s="386"/>
      <c r="K46" s="386"/>
      <c r="L46" s="386"/>
      <c r="M46" s="386"/>
      <c r="N46" s="386"/>
      <c r="O46" s="386"/>
    </row>
    <row r="47" spans="1:15" ht="22.5" x14ac:dyDescent="0.25">
      <c r="A47" s="686" t="s">
        <v>1054</v>
      </c>
      <c r="B47" s="686" t="s">
        <v>1046</v>
      </c>
      <c r="C47" s="305"/>
      <c r="D47" s="305"/>
      <c r="E47" s="305"/>
      <c r="F47" s="305"/>
      <c r="G47" s="305"/>
      <c r="H47" s="305"/>
      <c r="I47" s="305"/>
    </row>
    <row r="48" spans="1:15" x14ac:dyDescent="0.25">
      <c r="A48" s="292" t="s">
        <v>1066</v>
      </c>
      <c r="B48" s="292" t="s">
        <v>1067</v>
      </c>
      <c r="C48" s="229">
        <v>464030</v>
      </c>
      <c r="D48" s="229">
        <v>3096</v>
      </c>
      <c r="E48" s="229" t="s">
        <v>572</v>
      </c>
      <c r="F48" s="229" t="s">
        <v>572</v>
      </c>
      <c r="G48" s="404">
        <v>467126</v>
      </c>
      <c r="H48" s="404">
        <v>467126</v>
      </c>
      <c r="I48" s="397"/>
      <c r="K48" s="229">
        <v>370626</v>
      </c>
      <c r="L48" s="229" t="s">
        <v>572</v>
      </c>
      <c r="M48" s="404">
        <v>370626</v>
      </c>
      <c r="N48" s="404">
        <v>370626</v>
      </c>
    </row>
    <row r="49" spans="1:15" x14ac:dyDescent="0.25">
      <c r="A49" s="389" t="s">
        <v>737</v>
      </c>
      <c r="B49" s="389" t="s">
        <v>278</v>
      </c>
      <c r="C49" s="184">
        <v>1</v>
      </c>
      <c r="D49" s="184">
        <v>301873</v>
      </c>
      <c r="E49" s="184" t="s">
        <v>572</v>
      </c>
      <c r="F49" s="184" t="s">
        <v>572</v>
      </c>
      <c r="G49" s="390">
        <v>301874</v>
      </c>
      <c r="H49" s="390">
        <v>301874</v>
      </c>
      <c r="I49" s="397"/>
      <c r="K49" s="184" t="s">
        <v>572</v>
      </c>
      <c r="L49" s="184" t="s">
        <v>572</v>
      </c>
      <c r="M49" s="390" t="s">
        <v>572</v>
      </c>
      <c r="N49" s="390" t="s">
        <v>572</v>
      </c>
    </row>
    <row r="50" spans="1:15" x14ac:dyDescent="0.25">
      <c r="A50" s="389" t="s">
        <v>868</v>
      </c>
      <c r="B50" s="389" t="s">
        <v>250</v>
      </c>
      <c r="C50" s="184">
        <v>83156</v>
      </c>
      <c r="D50" s="184">
        <v>75</v>
      </c>
      <c r="E50" s="184" t="s">
        <v>572</v>
      </c>
      <c r="F50" s="184">
        <v>8</v>
      </c>
      <c r="G50" s="390">
        <v>83239</v>
      </c>
      <c r="H50" s="390">
        <v>83239</v>
      </c>
      <c r="I50" s="397"/>
      <c r="K50" s="184">
        <v>71413</v>
      </c>
      <c r="L50" s="184">
        <v>9</v>
      </c>
      <c r="M50" s="390">
        <v>71422</v>
      </c>
      <c r="N50" s="390">
        <v>71422</v>
      </c>
    </row>
    <row r="51" spans="1:15" ht="15.75" thickBot="1" x14ac:dyDescent="0.3">
      <c r="A51" s="423" t="s">
        <v>3</v>
      </c>
      <c r="B51" s="423" t="s">
        <v>251</v>
      </c>
      <c r="C51" s="201">
        <v>7300</v>
      </c>
      <c r="D51" s="201">
        <v>13681</v>
      </c>
      <c r="E51" s="201" t="s">
        <v>572</v>
      </c>
      <c r="F51" s="201">
        <v>6124</v>
      </c>
      <c r="G51" s="831">
        <v>27105</v>
      </c>
      <c r="H51" s="831">
        <v>27105</v>
      </c>
      <c r="I51" s="397"/>
      <c r="K51" s="201">
        <v>6620</v>
      </c>
      <c r="L51" s="201">
        <v>33990</v>
      </c>
      <c r="M51" s="831">
        <v>40610</v>
      </c>
      <c r="N51" s="831">
        <v>40610</v>
      </c>
    </row>
    <row r="52" spans="1:15" ht="15.75" thickBot="1" x14ac:dyDescent="0.3">
      <c r="A52" s="673" t="s">
        <v>1056</v>
      </c>
      <c r="B52" s="673" t="s">
        <v>1047</v>
      </c>
      <c r="C52" s="673">
        <v>554487</v>
      </c>
      <c r="D52" s="673">
        <v>318725</v>
      </c>
      <c r="E52" s="272" t="s">
        <v>572</v>
      </c>
      <c r="F52" s="673">
        <v>6132</v>
      </c>
      <c r="G52" s="673">
        <v>879344</v>
      </c>
      <c r="H52" s="673">
        <v>879344</v>
      </c>
      <c r="I52" s="1122"/>
      <c r="K52" s="673">
        <v>448659</v>
      </c>
      <c r="L52" s="673">
        <v>33999</v>
      </c>
      <c r="M52" s="673">
        <v>482658</v>
      </c>
      <c r="N52" s="673">
        <v>482658</v>
      </c>
    </row>
    <row r="53" spans="1:15" x14ac:dyDescent="0.25">
      <c r="A53" s="1122"/>
      <c r="B53" s="1122"/>
      <c r="C53" s="1122"/>
      <c r="D53" s="1122"/>
      <c r="E53" s="1122"/>
      <c r="F53" s="1122"/>
      <c r="G53" s="1122"/>
      <c r="H53" s="1122"/>
      <c r="I53" s="1122"/>
      <c r="K53" s="1122"/>
      <c r="L53" s="1122"/>
      <c r="M53" s="1122"/>
      <c r="N53" s="1122"/>
    </row>
    <row r="54" spans="1:15" x14ac:dyDescent="0.25">
      <c r="A54" s="679" t="s">
        <v>1057</v>
      </c>
      <c r="B54" s="679" t="s">
        <v>1048</v>
      </c>
      <c r="C54" s="305"/>
      <c r="D54" s="305"/>
      <c r="E54" s="305"/>
      <c r="F54" s="305"/>
      <c r="G54" s="305"/>
      <c r="H54" s="305"/>
      <c r="I54" s="305"/>
    </row>
    <row r="55" spans="1:15" x14ac:dyDescent="0.25">
      <c r="A55" s="389" t="s">
        <v>1068</v>
      </c>
      <c r="B55" s="389" t="s">
        <v>1069</v>
      </c>
      <c r="C55" s="184" t="s">
        <v>572</v>
      </c>
      <c r="D55" s="184" t="s">
        <v>572</v>
      </c>
      <c r="E55" s="184">
        <v>43911</v>
      </c>
      <c r="F55" s="184" t="s">
        <v>572</v>
      </c>
      <c r="G55" s="390">
        <v>43911</v>
      </c>
      <c r="H55" s="390">
        <v>43911</v>
      </c>
      <c r="I55" s="397"/>
      <c r="K55" s="184" t="s">
        <v>572</v>
      </c>
      <c r="L55" s="184" t="s">
        <v>572</v>
      </c>
      <c r="M55" s="390" t="s">
        <v>572</v>
      </c>
      <c r="N55" s="390" t="s">
        <v>572</v>
      </c>
    </row>
    <row r="56" spans="1:15" x14ac:dyDescent="0.25">
      <c r="A56" s="389" t="s">
        <v>1064</v>
      </c>
      <c r="B56" s="389" t="s">
        <v>1065</v>
      </c>
      <c r="C56" s="184">
        <v>2</v>
      </c>
      <c r="D56" s="184">
        <v>126</v>
      </c>
      <c r="E56" s="184" t="s">
        <v>572</v>
      </c>
      <c r="F56" s="184">
        <v>1740</v>
      </c>
      <c r="G56" s="390">
        <v>1868</v>
      </c>
      <c r="H56" s="390">
        <v>1868</v>
      </c>
      <c r="I56" s="397"/>
      <c r="K56" s="184">
        <v>1</v>
      </c>
      <c r="L56" s="184">
        <v>15921</v>
      </c>
      <c r="M56" s="390">
        <v>15922</v>
      </c>
      <c r="N56" s="390">
        <v>15922</v>
      </c>
    </row>
    <row r="57" spans="1:15" ht="15.75" thickBot="1" x14ac:dyDescent="0.3">
      <c r="A57" s="423" t="s">
        <v>3</v>
      </c>
      <c r="B57" s="423" t="s">
        <v>251</v>
      </c>
      <c r="C57" s="201" t="s">
        <v>572</v>
      </c>
      <c r="D57" s="201" t="s">
        <v>572</v>
      </c>
      <c r="E57" s="201">
        <v>504</v>
      </c>
      <c r="F57" s="201" t="s">
        <v>572</v>
      </c>
      <c r="G57" s="831">
        <v>504</v>
      </c>
      <c r="H57" s="831">
        <v>504</v>
      </c>
      <c r="I57" s="397"/>
      <c r="K57" s="201" t="s">
        <v>572</v>
      </c>
      <c r="L57" s="201" t="s">
        <v>572</v>
      </c>
      <c r="M57" s="831" t="s">
        <v>572</v>
      </c>
      <c r="N57" s="831" t="s">
        <v>572</v>
      </c>
    </row>
    <row r="58" spans="1:15" ht="15.75" thickBot="1" x14ac:dyDescent="0.3">
      <c r="A58" s="944" t="s">
        <v>79</v>
      </c>
      <c r="B58" s="944" t="s">
        <v>1050</v>
      </c>
      <c r="C58" s="743">
        <v>2</v>
      </c>
      <c r="D58" s="743">
        <v>126</v>
      </c>
      <c r="E58" s="743">
        <v>44415</v>
      </c>
      <c r="F58" s="743">
        <v>1740</v>
      </c>
      <c r="G58" s="743">
        <v>46283</v>
      </c>
      <c r="H58" s="743">
        <v>46283</v>
      </c>
      <c r="I58" s="398"/>
      <c r="K58" s="743">
        <v>1</v>
      </c>
      <c r="L58" s="743">
        <v>15921</v>
      </c>
      <c r="M58" s="743">
        <v>15922</v>
      </c>
      <c r="N58" s="743">
        <v>15922</v>
      </c>
    </row>
    <row r="59" spans="1:15" x14ac:dyDescent="0.25">
      <c r="A59" s="947"/>
      <c r="B59" s="947"/>
      <c r="C59" s="946"/>
      <c r="D59" s="946"/>
      <c r="E59" s="946"/>
      <c r="F59" s="946"/>
      <c r="G59" s="946"/>
      <c r="H59" s="946"/>
      <c r="I59" s="397"/>
      <c r="K59" s="946"/>
      <c r="L59" s="946"/>
      <c r="M59" s="946"/>
      <c r="N59" s="946"/>
    </row>
    <row r="60" spans="1:15" ht="15.75" thickBot="1" x14ac:dyDescent="0.3">
      <c r="A60" s="425" t="s">
        <v>1393</v>
      </c>
      <c r="B60" s="425" t="s">
        <v>1394</v>
      </c>
      <c r="C60" s="425">
        <v>554489</v>
      </c>
      <c r="D60" s="425">
        <v>318851</v>
      </c>
      <c r="E60" s="425">
        <v>44415</v>
      </c>
      <c r="F60" s="425">
        <v>7872</v>
      </c>
      <c r="G60" s="425">
        <v>925627</v>
      </c>
      <c r="H60" s="425">
        <v>925627</v>
      </c>
      <c r="I60" s="1122"/>
      <c r="K60" s="425">
        <v>448660</v>
      </c>
      <c r="L60" s="425">
        <v>49920</v>
      </c>
      <c r="M60" s="425">
        <v>498580</v>
      </c>
      <c r="N60" s="425">
        <v>498580</v>
      </c>
    </row>
    <row r="61" spans="1:15" s="1125" customFormat="1" x14ac:dyDescent="0.25">
      <c r="A61" s="1406" t="s">
        <v>1395</v>
      </c>
      <c r="B61" s="1406" t="s">
        <v>490</v>
      </c>
      <c r="C61" s="1406">
        <v>404136</v>
      </c>
      <c r="D61" s="1406">
        <v>318851</v>
      </c>
      <c r="E61" s="1406">
        <v>44415</v>
      </c>
      <c r="F61" s="1406">
        <v>7272</v>
      </c>
      <c r="G61" s="1407">
        <v>774674</v>
      </c>
      <c r="H61" s="1407">
        <v>774674</v>
      </c>
      <c r="I61" s="75"/>
      <c r="J61" s="1402"/>
      <c r="K61" s="1406">
        <v>386513</v>
      </c>
      <c r="L61" s="1406">
        <v>48407</v>
      </c>
      <c r="M61" s="1407">
        <v>434920</v>
      </c>
      <c r="N61" s="1407">
        <v>434920</v>
      </c>
    </row>
    <row r="62" spans="1:15" s="1125" customFormat="1" x14ac:dyDescent="0.25">
      <c r="A62" s="75" t="s">
        <v>1179</v>
      </c>
      <c r="B62" s="75" t="s">
        <v>1180</v>
      </c>
      <c r="C62" s="75">
        <v>150353</v>
      </c>
      <c r="D62" s="115" t="s">
        <v>572</v>
      </c>
      <c r="E62" s="115" t="s">
        <v>572</v>
      </c>
      <c r="F62" s="75">
        <v>600</v>
      </c>
      <c r="G62" s="1404">
        <v>150953</v>
      </c>
      <c r="H62" s="1404">
        <v>150953</v>
      </c>
      <c r="I62" s="75"/>
      <c r="J62" s="1402"/>
      <c r="K62" s="75">
        <v>62147</v>
      </c>
      <c r="L62" s="75">
        <v>1513</v>
      </c>
      <c r="M62" s="1404">
        <v>63660</v>
      </c>
      <c r="N62" s="1404">
        <v>63660</v>
      </c>
    </row>
    <row r="63" spans="1:15" x14ac:dyDescent="0.25">
      <c r="A63" s="1122"/>
      <c r="B63" s="1122"/>
      <c r="C63" s="1122"/>
      <c r="D63" s="1122"/>
      <c r="E63" s="1122"/>
      <c r="F63" s="1122"/>
      <c r="G63" s="1122"/>
      <c r="H63" s="1122"/>
      <c r="I63" s="1122"/>
      <c r="K63" s="1122"/>
      <c r="L63" s="1122"/>
      <c r="M63" s="1122"/>
      <c r="N63" s="1122"/>
    </row>
    <row r="64" spans="1:15" x14ac:dyDescent="0.25">
      <c r="A64" s="385" t="s">
        <v>797</v>
      </c>
      <c r="B64" s="385" t="s">
        <v>798</v>
      </c>
      <c r="C64" s="386"/>
      <c r="D64" s="386"/>
      <c r="E64" s="386"/>
      <c r="F64" s="386"/>
      <c r="G64" s="386"/>
      <c r="H64" s="386"/>
      <c r="I64" s="386"/>
      <c r="K64" s="386"/>
      <c r="L64" s="386"/>
      <c r="M64" s="386"/>
      <c r="N64" s="386"/>
      <c r="O64" s="386"/>
    </row>
    <row r="65" spans="1:14" ht="22.5" x14ac:dyDescent="0.25">
      <c r="A65" s="686" t="s">
        <v>1054</v>
      </c>
      <c r="B65" s="686" t="s">
        <v>1046</v>
      </c>
      <c r="C65" s="305"/>
      <c r="D65" s="305"/>
      <c r="E65" s="305"/>
      <c r="F65" s="305"/>
      <c r="G65" s="305"/>
      <c r="H65" s="305"/>
      <c r="I65" s="305"/>
    </row>
    <row r="66" spans="1:14" x14ac:dyDescent="0.25">
      <c r="A66" s="292" t="s">
        <v>1066</v>
      </c>
      <c r="B66" s="292" t="s">
        <v>1067</v>
      </c>
      <c r="C66" s="229">
        <v>480754</v>
      </c>
      <c r="D66" s="229">
        <v>3209</v>
      </c>
      <c r="E66" s="229" t="s">
        <v>572</v>
      </c>
      <c r="F66" s="229" t="s">
        <v>572</v>
      </c>
      <c r="G66" s="404">
        <v>483963</v>
      </c>
      <c r="H66" s="404">
        <v>483963</v>
      </c>
      <c r="I66" s="397"/>
      <c r="K66" s="229">
        <v>386679</v>
      </c>
      <c r="L66" s="229" t="s">
        <v>572</v>
      </c>
      <c r="M66" s="404">
        <v>386679</v>
      </c>
      <c r="N66" s="404">
        <v>386679</v>
      </c>
    </row>
    <row r="67" spans="1:14" x14ac:dyDescent="0.25">
      <c r="A67" s="389" t="s">
        <v>737</v>
      </c>
      <c r="B67" s="389" t="s">
        <v>278</v>
      </c>
      <c r="C67" s="184">
        <v>2</v>
      </c>
      <c r="D67" s="184">
        <v>290082</v>
      </c>
      <c r="E67" s="184" t="s">
        <v>572</v>
      </c>
      <c r="F67" s="184" t="s">
        <v>572</v>
      </c>
      <c r="G67" s="390">
        <v>290084</v>
      </c>
      <c r="H67" s="390">
        <v>290084</v>
      </c>
      <c r="I67" s="397"/>
      <c r="K67" s="184" t="s">
        <v>572</v>
      </c>
      <c r="L67" s="184" t="s">
        <v>572</v>
      </c>
      <c r="M67" s="390" t="s">
        <v>572</v>
      </c>
      <c r="N67" s="390" t="s">
        <v>572</v>
      </c>
    </row>
    <row r="68" spans="1:14" x14ac:dyDescent="0.25">
      <c r="A68" s="389" t="s">
        <v>868</v>
      </c>
      <c r="B68" s="389" t="s">
        <v>250</v>
      </c>
      <c r="C68" s="184">
        <v>82628</v>
      </c>
      <c r="D68" s="184">
        <v>73</v>
      </c>
      <c r="E68" s="184" t="s">
        <v>572</v>
      </c>
      <c r="F68" s="184">
        <v>8</v>
      </c>
      <c r="G68" s="390">
        <v>82709</v>
      </c>
      <c r="H68" s="390">
        <v>82709</v>
      </c>
      <c r="I68" s="397"/>
      <c r="K68" s="184">
        <v>71086</v>
      </c>
      <c r="L68" s="184">
        <v>7</v>
      </c>
      <c r="M68" s="390">
        <v>71093</v>
      </c>
      <c r="N68" s="390">
        <v>71093</v>
      </c>
    </row>
    <row r="69" spans="1:14" ht="15.75" thickBot="1" x14ac:dyDescent="0.3">
      <c r="A69" s="423" t="s">
        <v>3</v>
      </c>
      <c r="B69" s="423" t="s">
        <v>251</v>
      </c>
      <c r="C69" s="201">
        <v>7442</v>
      </c>
      <c r="D69" s="201">
        <v>13193</v>
      </c>
      <c r="E69" s="201" t="s">
        <v>572</v>
      </c>
      <c r="F69" s="201">
        <v>6488</v>
      </c>
      <c r="G69" s="831">
        <v>27123</v>
      </c>
      <c r="H69" s="831">
        <v>27123</v>
      </c>
      <c r="I69" s="397"/>
      <c r="K69" s="930">
        <v>7163</v>
      </c>
      <c r="L69" s="930">
        <v>33196</v>
      </c>
      <c r="M69" s="831">
        <v>40359</v>
      </c>
      <c r="N69" s="831">
        <v>40359</v>
      </c>
    </row>
    <row r="70" spans="1:14" ht="15.75" thickBot="1" x14ac:dyDescent="0.3">
      <c r="A70" s="673" t="s">
        <v>1056</v>
      </c>
      <c r="B70" s="673" t="s">
        <v>1047</v>
      </c>
      <c r="C70" s="673">
        <v>570826</v>
      </c>
      <c r="D70" s="673">
        <v>306557</v>
      </c>
      <c r="E70" s="272" t="s">
        <v>572</v>
      </c>
      <c r="F70" s="673">
        <v>6496</v>
      </c>
      <c r="G70" s="673">
        <v>883879</v>
      </c>
      <c r="H70" s="673">
        <v>883879</v>
      </c>
      <c r="I70" s="1122"/>
      <c r="K70" s="1403">
        <v>464928</v>
      </c>
      <c r="L70" s="1403">
        <v>33203</v>
      </c>
      <c r="M70" s="673">
        <v>498131</v>
      </c>
      <c r="N70" s="673">
        <v>498131</v>
      </c>
    </row>
    <row r="71" spans="1:14" x14ac:dyDescent="0.25">
      <c r="A71" s="1122"/>
      <c r="B71" s="1122"/>
      <c r="C71" s="1122"/>
      <c r="D71" s="1122"/>
      <c r="E71" s="1122"/>
      <c r="F71" s="1122"/>
      <c r="G71" s="1122"/>
      <c r="H71" s="1122"/>
      <c r="I71" s="1122"/>
      <c r="K71" s="1122"/>
      <c r="L71" s="1122"/>
      <c r="M71" s="1122"/>
      <c r="N71" s="1122"/>
    </row>
    <row r="72" spans="1:14" x14ac:dyDescent="0.25">
      <c r="A72" s="679" t="s">
        <v>1057</v>
      </c>
      <c r="B72" s="679" t="s">
        <v>1048</v>
      </c>
      <c r="C72" s="305"/>
      <c r="D72" s="305"/>
      <c r="E72" s="305"/>
      <c r="F72" s="305"/>
      <c r="G72" s="305"/>
      <c r="H72" s="305"/>
      <c r="I72" s="305"/>
    </row>
    <row r="73" spans="1:14" x14ac:dyDescent="0.25">
      <c r="A73" s="389" t="s">
        <v>1068</v>
      </c>
      <c r="B73" s="389" t="s">
        <v>1069</v>
      </c>
      <c r="C73" s="184" t="s">
        <v>572</v>
      </c>
      <c r="D73" s="184" t="s">
        <v>572</v>
      </c>
      <c r="E73" s="184">
        <v>45371</v>
      </c>
      <c r="F73" s="184" t="s">
        <v>572</v>
      </c>
      <c r="G73" s="390">
        <v>45371</v>
      </c>
      <c r="H73" s="390">
        <v>45371</v>
      </c>
      <c r="I73" s="397"/>
      <c r="K73" s="184" t="s">
        <v>572</v>
      </c>
      <c r="L73" s="184" t="s">
        <v>572</v>
      </c>
      <c r="M73" s="390" t="s">
        <v>572</v>
      </c>
      <c r="N73" s="390" t="s">
        <v>572</v>
      </c>
    </row>
    <row r="74" spans="1:14" x14ac:dyDescent="0.25">
      <c r="A74" s="389" t="s">
        <v>1064</v>
      </c>
      <c r="B74" s="389" t="s">
        <v>1065</v>
      </c>
      <c r="C74" s="184">
        <v>2</v>
      </c>
      <c r="D74" s="184">
        <v>143</v>
      </c>
      <c r="E74" s="184">
        <v>1</v>
      </c>
      <c r="F74" s="184">
        <v>1716</v>
      </c>
      <c r="G74" s="390">
        <v>1862</v>
      </c>
      <c r="H74" s="390">
        <v>1862</v>
      </c>
      <c r="I74" s="397"/>
      <c r="K74" s="116" t="s">
        <v>572</v>
      </c>
      <c r="L74" s="116">
        <v>15432</v>
      </c>
      <c r="M74" s="1400">
        <v>15432</v>
      </c>
      <c r="N74" s="1400">
        <v>15432</v>
      </c>
    </row>
    <row r="75" spans="1:14" ht="15.75" thickBot="1" x14ac:dyDescent="0.3">
      <c r="A75" s="423" t="s">
        <v>3</v>
      </c>
      <c r="B75" s="423" t="s">
        <v>251</v>
      </c>
      <c r="C75" s="201" t="s">
        <v>572</v>
      </c>
      <c r="D75" s="201" t="s">
        <v>572</v>
      </c>
      <c r="E75" s="201">
        <v>507</v>
      </c>
      <c r="F75" s="201" t="s">
        <v>572</v>
      </c>
      <c r="G75" s="831">
        <v>507</v>
      </c>
      <c r="H75" s="831">
        <v>507</v>
      </c>
      <c r="I75" s="397"/>
      <c r="K75" s="930" t="s">
        <v>572</v>
      </c>
      <c r="L75" s="930" t="s">
        <v>572</v>
      </c>
      <c r="M75" s="831" t="s">
        <v>572</v>
      </c>
      <c r="N75" s="831" t="s">
        <v>572</v>
      </c>
    </row>
    <row r="76" spans="1:14" ht="15.75" thickBot="1" x14ac:dyDescent="0.3">
      <c r="A76" s="944" t="s">
        <v>79</v>
      </c>
      <c r="B76" s="944" t="s">
        <v>1050</v>
      </c>
      <c r="C76" s="743">
        <v>2</v>
      </c>
      <c r="D76" s="743">
        <v>143</v>
      </c>
      <c r="E76" s="743">
        <v>45879</v>
      </c>
      <c r="F76" s="743">
        <v>1716</v>
      </c>
      <c r="G76" s="743">
        <v>47740</v>
      </c>
      <c r="H76" s="743">
        <v>47740</v>
      </c>
      <c r="I76" s="398"/>
      <c r="K76" s="1148" t="s">
        <v>572</v>
      </c>
      <c r="L76" s="1148">
        <v>15432</v>
      </c>
      <c r="M76" s="1148">
        <v>15432</v>
      </c>
      <c r="N76" s="1148">
        <v>15432</v>
      </c>
    </row>
    <row r="77" spans="1:14" x14ac:dyDescent="0.25">
      <c r="A77" s="947"/>
      <c r="B77" s="947"/>
      <c r="C77" s="946"/>
      <c r="D77" s="946"/>
      <c r="E77" s="946"/>
      <c r="F77" s="946"/>
      <c r="G77" s="946"/>
      <c r="H77" s="946"/>
      <c r="I77" s="397"/>
      <c r="K77" s="946"/>
      <c r="L77" s="946"/>
      <c r="M77" s="946"/>
      <c r="N77" s="946"/>
    </row>
    <row r="78" spans="1:14" ht="15.75" thickBot="1" x14ac:dyDescent="0.3">
      <c r="A78" s="425" t="s">
        <v>64</v>
      </c>
      <c r="B78" s="425" t="s">
        <v>1051</v>
      </c>
      <c r="C78" s="1405">
        <v>570828</v>
      </c>
      <c r="D78" s="1405">
        <v>306700</v>
      </c>
      <c r="E78" s="1405">
        <v>45879</v>
      </c>
      <c r="F78" s="1405">
        <v>8212</v>
      </c>
      <c r="G78" s="1405">
        <v>931619</v>
      </c>
      <c r="H78" s="1405">
        <v>931619</v>
      </c>
      <c r="I78" s="1404"/>
      <c r="J78" s="1130"/>
      <c r="K78" s="1405">
        <v>464928</v>
      </c>
      <c r="L78" s="1405">
        <v>48635</v>
      </c>
      <c r="M78" s="1405">
        <v>513563</v>
      </c>
      <c r="N78" s="1405">
        <v>513563</v>
      </c>
    </row>
    <row r="79" spans="1:14" s="1125" customFormat="1" x14ac:dyDescent="0.25">
      <c r="A79" s="1408" t="s">
        <v>1395</v>
      </c>
      <c r="B79" s="1408" t="s">
        <v>490</v>
      </c>
      <c r="C79" s="1406">
        <v>432443</v>
      </c>
      <c r="D79" s="1406">
        <v>306700</v>
      </c>
      <c r="E79" s="1406">
        <v>45879</v>
      </c>
      <c r="F79" s="1406">
        <v>7392</v>
      </c>
      <c r="G79" s="1406">
        <v>792414</v>
      </c>
      <c r="H79" s="1406">
        <v>792414</v>
      </c>
      <c r="I79" s="75"/>
      <c r="J79" s="1402"/>
      <c r="K79" s="1406">
        <v>430080</v>
      </c>
      <c r="L79" s="1406">
        <v>46962</v>
      </c>
      <c r="M79" s="1406">
        <v>477042</v>
      </c>
      <c r="N79" s="1406">
        <v>477042</v>
      </c>
    </row>
    <row r="80" spans="1:14" s="1125" customFormat="1" x14ac:dyDescent="0.25">
      <c r="A80" s="150" t="s">
        <v>1179</v>
      </c>
      <c r="B80" s="150" t="s">
        <v>1180</v>
      </c>
      <c r="C80" s="75">
        <v>138385</v>
      </c>
      <c r="D80" s="115" t="s">
        <v>572</v>
      </c>
      <c r="E80" s="115" t="s">
        <v>572</v>
      </c>
      <c r="F80" s="75">
        <v>820</v>
      </c>
      <c r="G80" s="75">
        <v>139205</v>
      </c>
      <c r="H80" s="75">
        <v>139205</v>
      </c>
      <c r="I80" s="75"/>
      <c r="J80" s="1402"/>
      <c r="K80" s="75">
        <v>34848</v>
      </c>
      <c r="L80" s="75">
        <v>1673</v>
      </c>
      <c r="M80" s="75">
        <v>36521</v>
      </c>
      <c r="N80" s="75">
        <v>36521</v>
      </c>
    </row>
    <row r="81" spans="1:9" x14ac:dyDescent="0.25">
      <c r="A81" s="305"/>
      <c r="B81" s="305"/>
      <c r="C81" s="305"/>
      <c r="D81" s="305"/>
      <c r="E81" s="305"/>
      <c r="F81" s="305"/>
      <c r="G81" s="305"/>
      <c r="H81" s="305"/>
      <c r="I81" s="305"/>
    </row>
    <row r="82" spans="1:9" x14ac:dyDescent="0.25">
      <c r="A82" s="305"/>
      <c r="B82" s="305"/>
      <c r="C82" s="305"/>
      <c r="D82" s="305"/>
      <c r="E82" s="305"/>
      <c r="F82" s="305"/>
      <c r="G82" s="305"/>
      <c r="H82" s="305"/>
      <c r="I82" s="305"/>
    </row>
    <row r="83" spans="1:9" ht="16.5" thickBot="1" x14ac:dyDescent="0.25">
      <c r="A83" s="36" t="s">
        <v>69</v>
      </c>
      <c r="B83" s="36" t="s">
        <v>248</v>
      </c>
      <c r="C83" s="36"/>
      <c r="H83" s="1208" t="s">
        <v>1</v>
      </c>
    </row>
    <row r="84" spans="1:9" s="25" customFormat="1" ht="18.75" customHeight="1" x14ac:dyDescent="0.25">
      <c r="A84" s="1481"/>
      <c r="B84" s="1481"/>
      <c r="C84" s="1470" t="s">
        <v>964</v>
      </c>
      <c r="D84" s="1467" t="s">
        <v>949</v>
      </c>
      <c r="E84" s="1467"/>
      <c r="F84" s="176"/>
      <c r="G84" s="1467" t="s">
        <v>1403</v>
      </c>
      <c r="H84" s="1467"/>
    </row>
    <row r="85" spans="1:9" s="23" customFormat="1" ht="15.75" thickBot="1" x14ac:dyDescent="0.3">
      <c r="A85" s="1482"/>
      <c r="B85" s="1482"/>
      <c r="C85" s="1488"/>
      <c r="D85" s="1219">
        <v>2017</v>
      </c>
      <c r="E85" s="1220">
        <v>2016</v>
      </c>
      <c r="F85" s="1412"/>
      <c r="G85" s="1219">
        <v>2017</v>
      </c>
      <c r="H85" s="1220">
        <v>2016</v>
      </c>
    </row>
    <row r="86" spans="1:9" s="35" customFormat="1" ht="11.25" x14ac:dyDescent="0.25">
      <c r="A86" s="403"/>
      <c r="B86" s="403"/>
      <c r="C86" s="403"/>
      <c r="D86" s="858"/>
      <c r="E86" s="96"/>
      <c r="G86" s="858"/>
      <c r="H86" s="96"/>
    </row>
    <row r="87" spans="1:9" s="35" customFormat="1" ht="11.25" x14ac:dyDescent="0.25">
      <c r="A87" s="403"/>
      <c r="B87" s="403"/>
      <c r="C87" s="403"/>
      <c r="D87" s="858"/>
      <c r="E87" s="96"/>
      <c r="G87" s="858"/>
      <c r="H87" s="96"/>
    </row>
    <row r="88" spans="1:9" s="35" customFormat="1" ht="11.25" x14ac:dyDescent="0.25">
      <c r="A88" s="291" t="s">
        <v>413</v>
      </c>
      <c r="B88" s="291" t="s">
        <v>412</v>
      </c>
      <c r="C88" s="291"/>
      <c r="D88" s="931">
        <v>234082</v>
      </c>
      <c r="E88" s="284">
        <v>160773</v>
      </c>
      <c r="F88" s="836"/>
      <c r="G88" s="931">
        <v>177416</v>
      </c>
      <c r="H88" s="284">
        <v>141071</v>
      </c>
    </row>
    <row r="89" spans="1:9" s="35" customFormat="1" ht="11.25" x14ac:dyDescent="0.25">
      <c r="A89" s="405" t="s">
        <v>8</v>
      </c>
      <c r="B89" s="405" t="s">
        <v>200</v>
      </c>
      <c r="C89" s="406" t="s">
        <v>683</v>
      </c>
      <c r="D89" s="932">
        <v>1243</v>
      </c>
      <c r="E89" s="835">
        <v>2328</v>
      </c>
      <c r="F89" s="836"/>
      <c r="G89" s="932">
        <v>11433</v>
      </c>
      <c r="H89" s="835">
        <v>12958</v>
      </c>
    </row>
    <row r="90" spans="1:9" s="35" customFormat="1" ht="11.25" x14ac:dyDescent="0.25">
      <c r="A90" s="405" t="s">
        <v>9</v>
      </c>
      <c r="B90" s="405" t="s">
        <v>201</v>
      </c>
      <c r="C90" s="407" t="s">
        <v>682</v>
      </c>
      <c r="D90" s="839">
        <v>-11211</v>
      </c>
      <c r="E90" s="184">
        <v>-14156</v>
      </c>
      <c r="F90" s="836"/>
      <c r="G90" s="839">
        <v>-12054</v>
      </c>
      <c r="H90" s="184">
        <v>-14772</v>
      </c>
    </row>
    <row r="91" spans="1:9" s="35" customFormat="1" ht="12" thickBot="1" x14ac:dyDescent="0.3">
      <c r="A91" s="833" t="s">
        <v>1091</v>
      </c>
      <c r="B91" s="833" t="s">
        <v>1448</v>
      </c>
      <c r="C91" s="834" t="s">
        <v>1447</v>
      </c>
      <c r="D91" s="855" t="s">
        <v>572</v>
      </c>
      <c r="E91" s="201" t="s">
        <v>572</v>
      </c>
      <c r="F91" s="836"/>
      <c r="G91" s="855">
        <v>9111</v>
      </c>
      <c r="H91" s="201">
        <v>17033</v>
      </c>
    </row>
    <row r="92" spans="1:9" s="35" customFormat="1" ht="12" thickBot="1" x14ac:dyDescent="0.25">
      <c r="A92" s="673" t="s">
        <v>684</v>
      </c>
      <c r="B92" s="937" t="s">
        <v>232</v>
      </c>
      <c r="C92" s="937"/>
      <c r="D92" s="938">
        <v>224114</v>
      </c>
      <c r="E92" s="739">
        <v>148945</v>
      </c>
      <c r="F92" s="836"/>
      <c r="G92" s="938">
        <v>185906</v>
      </c>
      <c r="H92" s="739">
        <v>156290</v>
      </c>
    </row>
    <row r="93" spans="1:9" s="35" customFormat="1" ht="11.25" x14ac:dyDescent="0.2">
      <c r="A93" s="291"/>
      <c r="B93" s="415"/>
      <c r="C93" s="415"/>
      <c r="D93" s="415"/>
      <c r="E93" s="416"/>
      <c r="F93" s="411"/>
      <c r="G93" s="415"/>
      <c r="H93" s="416"/>
    </row>
    <row r="94" spans="1:9" ht="15.75" x14ac:dyDescent="0.25">
      <c r="A94" s="36"/>
      <c r="B94" s="36"/>
      <c r="C94" s="36"/>
      <c r="D94" s="305"/>
      <c r="E94" s="305"/>
      <c r="F94" s="305"/>
      <c r="G94" s="305"/>
    </row>
    <row r="95" spans="1:9" ht="16.5" thickBot="1" x14ac:dyDescent="0.25">
      <c r="A95" s="36" t="s">
        <v>70</v>
      </c>
      <c r="B95" s="36" t="s">
        <v>249</v>
      </c>
      <c r="C95" s="36"/>
      <c r="H95" s="1208" t="s">
        <v>1</v>
      </c>
    </row>
    <row r="96" spans="1:9" s="25" customFormat="1" ht="18.75" customHeight="1" x14ac:dyDescent="0.25">
      <c r="A96" s="1481"/>
      <c r="B96" s="1481"/>
      <c r="C96" s="1470" t="s">
        <v>964</v>
      </c>
      <c r="D96" s="1467" t="s">
        <v>949</v>
      </c>
      <c r="E96" s="1467"/>
      <c r="F96" s="176"/>
      <c r="G96" s="1467" t="s">
        <v>1403</v>
      </c>
      <c r="H96" s="1467"/>
    </row>
    <row r="97" spans="1:8" s="23" customFormat="1" ht="15.75" thickBot="1" x14ac:dyDescent="0.3">
      <c r="A97" s="1482"/>
      <c r="B97" s="1482"/>
      <c r="C97" s="1488"/>
      <c r="D97" s="1219">
        <v>2017</v>
      </c>
      <c r="E97" s="1220">
        <v>2016</v>
      </c>
      <c r="F97" s="1412"/>
      <c r="G97" s="1219">
        <v>2017</v>
      </c>
      <c r="H97" s="1220">
        <v>2016</v>
      </c>
    </row>
    <row r="98" spans="1:8" s="35" customFormat="1" ht="11.25" x14ac:dyDescent="0.25">
      <c r="A98" s="69"/>
      <c r="B98" s="69"/>
      <c r="C98" s="69"/>
      <c r="D98" s="858"/>
      <c r="E98" s="70"/>
      <c r="G98" s="858"/>
      <c r="H98" s="70"/>
    </row>
    <row r="99" spans="1:8" s="35" customFormat="1" ht="11.25" x14ac:dyDescent="0.25">
      <c r="A99" s="69"/>
      <c r="B99" s="69"/>
      <c r="C99" s="69"/>
      <c r="D99" s="858"/>
      <c r="E99" s="70"/>
      <c r="G99" s="858"/>
      <c r="H99" s="70"/>
    </row>
    <row r="100" spans="1:8" s="35" customFormat="1" ht="11.25" x14ac:dyDescent="0.25">
      <c r="A100" s="66" t="s">
        <v>71</v>
      </c>
      <c r="B100" s="66" t="s">
        <v>243</v>
      </c>
      <c r="C100" s="66"/>
      <c r="D100" s="931">
        <v>4184653</v>
      </c>
      <c r="E100" s="837">
        <v>3723277</v>
      </c>
      <c r="F100" s="836"/>
      <c r="G100" s="931">
        <v>1478913</v>
      </c>
      <c r="H100" s="837">
        <v>1556757</v>
      </c>
    </row>
    <row r="101" spans="1:8" s="35" customFormat="1" ht="11.25" x14ac:dyDescent="0.25">
      <c r="A101" s="389" t="s">
        <v>825</v>
      </c>
      <c r="B101" s="389" t="s">
        <v>826</v>
      </c>
      <c r="C101" s="409"/>
      <c r="D101" s="933">
        <v>-26652</v>
      </c>
      <c r="E101" s="282">
        <v>-32791</v>
      </c>
      <c r="F101" s="836"/>
      <c r="G101" s="933" t="s">
        <v>572</v>
      </c>
      <c r="H101" s="282" t="s">
        <v>572</v>
      </c>
    </row>
    <row r="102" spans="1:8" s="35" customFormat="1" ht="11.25" x14ac:dyDescent="0.25">
      <c r="A102" s="389" t="s">
        <v>568</v>
      </c>
      <c r="B102" s="389" t="s">
        <v>681</v>
      </c>
      <c r="C102" s="409">
        <v>15</v>
      </c>
      <c r="D102" s="933">
        <v>40</v>
      </c>
      <c r="E102" s="282">
        <v>40</v>
      </c>
      <c r="F102" s="836"/>
      <c r="G102" s="933">
        <v>817048</v>
      </c>
      <c r="H102" s="282">
        <v>817048</v>
      </c>
    </row>
    <row r="103" spans="1:8" s="35" customFormat="1" ht="11.25" x14ac:dyDescent="0.25">
      <c r="A103" s="389" t="s">
        <v>1323</v>
      </c>
      <c r="B103" s="1409" t="s">
        <v>1339</v>
      </c>
      <c r="C103" s="409" t="s">
        <v>1657</v>
      </c>
      <c r="D103" s="933" t="s">
        <v>572</v>
      </c>
      <c r="E103" s="282" t="s">
        <v>572</v>
      </c>
      <c r="F103" s="836"/>
      <c r="G103" s="933">
        <v>1098781</v>
      </c>
      <c r="H103" s="282">
        <v>622704</v>
      </c>
    </row>
    <row r="104" spans="1:8" s="35" customFormat="1" ht="11.25" x14ac:dyDescent="0.25">
      <c r="A104" s="389" t="s">
        <v>21</v>
      </c>
      <c r="B104" s="389" t="s">
        <v>677</v>
      </c>
      <c r="C104" s="409" t="s">
        <v>678</v>
      </c>
      <c r="D104" s="933">
        <v>16984</v>
      </c>
      <c r="E104" s="282">
        <v>20554</v>
      </c>
      <c r="F104" s="836"/>
      <c r="G104" s="933">
        <v>16984</v>
      </c>
      <c r="H104" s="282">
        <v>20554</v>
      </c>
    </row>
    <row r="105" spans="1:8" s="35" customFormat="1" ht="11.25" x14ac:dyDescent="0.25">
      <c r="A105" s="389" t="s">
        <v>25</v>
      </c>
      <c r="B105" s="389" t="s">
        <v>212</v>
      </c>
      <c r="C105" s="409" t="s">
        <v>680</v>
      </c>
      <c r="D105" s="933">
        <v>4619</v>
      </c>
      <c r="E105" s="282">
        <v>6134</v>
      </c>
      <c r="F105" s="836"/>
      <c r="G105" s="933">
        <v>4619</v>
      </c>
      <c r="H105" s="282">
        <v>6134</v>
      </c>
    </row>
    <row r="106" spans="1:8" s="35" customFormat="1" ht="11.25" x14ac:dyDescent="0.25">
      <c r="A106" s="389" t="s">
        <v>72</v>
      </c>
      <c r="B106" s="389" t="s">
        <v>244</v>
      </c>
      <c r="C106" s="409"/>
      <c r="D106" s="933">
        <v>78</v>
      </c>
      <c r="E106" s="282">
        <v>37</v>
      </c>
      <c r="F106" s="836"/>
      <c r="G106" s="933" t="s">
        <v>572</v>
      </c>
      <c r="H106" s="282" t="s">
        <v>572</v>
      </c>
    </row>
    <row r="107" spans="1:8" s="35" customFormat="1" ht="12" thickBot="1" x14ac:dyDescent="0.3">
      <c r="A107" s="423" t="s">
        <v>26</v>
      </c>
      <c r="B107" s="423" t="s">
        <v>213</v>
      </c>
      <c r="C107" s="699">
        <v>18</v>
      </c>
      <c r="D107" s="936">
        <v>236003</v>
      </c>
      <c r="E107" s="278">
        <v>183980</v>
      </c>
      <c r="F107" s="836"/>
      <c r="G107" s="936">
        <v>232855</v>
      </c>
      <c r="H107" s="278">
        <v>181197</v>
      </c>
    </row>
    <row r="108" spans="1:8" s="35" customFormat="1" ht="12" thickBot="1" x14ac:dyDescent="0.3">
      <c r="A108" s="673" t="s">
        <v>73</v>
      </c>
      <c r="B108" s="673" t="s">
        <v>1338</v>
      </c>
      <c r="C108" s="672"/>
      <c r="D108" s="787">
        <v>4415725</v>
      </c>
      <c r="E108" s="714">
        <v>3901231</v>
      </c>
      <c r="F108" s="836"/>
      <c r="G108" s="787">
        <v>3649200</v>
      </c>
      <c r="H108" s="714">
        <v>3204394</v>
      </c>
    </row>
    <row r="109" spans="1:8" x14ac:dyDescent="0.25">
      <c r="A109" s="62"/>
      <c r="B109" s="62"/>
      <c r="C109" s="62"/>
    </row>
    <row r="110" spans="1:8" x14ac:dyDescent="0.25">
      <c r="A110" s="62"/>
      <c r="B110" s="62"/>
      <c r="C110" s="62"/>
    </row>
    <row r="111" spans="1:8" ht="16.5" thickBot="1" x14ac:dyDescent="0.25">
      <c r="A111" s="36" t="s">
        <v>74</v>
      </c>
      <c r="B111" s="36" t="s">
        <v>247</v>
      </c>
      <c r="C111" s="36"/>
      <c r="H111" s="1208" t="s">
        <v>1</v>
      </c>
    </row>
    <row r="112" spans="1:8" s="25" customFormat="1" ht="18.75" customHeight="1" x14ac:dyDescent="0.25">
      <c r="A112" s="1481"/>
      <c r="B112" s="1481"/>
      <c r="C112" s="1470" t="s">
        <v>964</v>
      </c>
      <c r="D112" s="1467" t="s">
        <v>949</v>
      </c>
      <c r="E112" s="1467"/>
      <c r="F112" s="176"/>
      <c r="G112" s="1467" t="s">
        <v>1403</v>
      </c>
      <c r="H112" s="1467"/>
    </row>
    <row r="113" spans="1:8" s="23" customFormat="1" ht="15.75" thickBot="1" x14ac:dyDescent="0.3">
      <c r="A113" s="1482"/>
      <c r="B113" s="1482"/>
      <c r="C113" s="1488"/>
      <c r="D113" s="1219">
        <v>2017</v>
      </c>
      <c r="E113" s="1220">
        <v>2016</v>
      </c>
      <c r="F113" s="1412"/>
      <c r="G113" s="1219">
        <v>2017</v>
      </c>
      <c r="H113" s="1220">
        <v>2016</v>
      </c>
    </row>
    <row r="114" spans="1:8" s="35" customFormat="1" ht="11.25" x14ac:dyDescent="0.25">
      <c r="A114" s="69"/>
      <c r="B114" s="69"/>
      <c r="C114" s="69"/>
      <c r="D114" s="934"/>
      <c r="E114" s="70"/>
      <c r="G114" s="934"/>
      <c r="H114" s="70"/>
    </row>
    <row r="115" spans="1:8" s="35" customFormat="1" ht="11.25" x14ac:dyDescent="0.25">
      <c r="A115" s="69"/>
      <c r="B115" s="69"/>
      <c r="C115" s="69"/>
      <c r="D115" s="934"/>
      <c r="E115" s="70"/>
      <c r="G115" s="934"/>
      <c r="H115" s="70"/>
    </row>
    <row r="116" spans="1:8" s="35" customFormat="1" ht="11.25" x14ac:dyDescent="0.25">
      <c r="A116" s="291" t="s">
        <v>75</v>
      </c>
      <c r="B116" s="291" t="s">
        <v>245</v>
      </c>
      <c r="C116" s="291"/>
      <c r="D116" s="931">
        <v>655837</v>
      </c>
      <c r="E116" s="398">
        <v>307373</v>
      </c>
      <c r="G116" s="931">
        <v>392403</v>
      </c>
      <c r="H116" s="398">
        <v>78771</v>
      </c>
    </row>
    <row r="117" spans="1:8" s="35" customFormat="1" ht="11.25" x14ac:dyDescent="0.25">
      <c r="A117" s="405" t="s">
        <v>193</v>
      </c>
      <c r="B117" s="405" t="s">
        <v>224</v>
      </c>
      <c r="C117" s="407">
        <v>12</v>
      </c>
      <c r="D117" s="780" t="s">
        <v>625</v>
      </c>
      <c r="E117" s="405">
        <v>315759</v>
      </c>
      <c r="G117" s="780" t="s">
        <v>625</v>
      </c>
      <c r="H117" s="405">
        <v>126260</v>
      </c>
    </row>
    <row r="118" spans="1:8" s="35" customFormat="1" ht="11.25" x14ac:dyDescent="0.25">
      <c r="A118" s="405" t="s">
        <v>76</v>
      </c>
      <c r="B118" s="405" t="s">
        <v>246</v>
      </c>
      <c r="C118" s="407"/>
      <c r="D118" s="1410">
        <v>27725</v>
      </c>
      <c r="E118" s="405">
        <v>17718</v>
      </c>
      <c r="G118" s="1410">
        <v>24739</v>
      </c>
      <c r="H118" s="405">
        <v>16549</v>
      </c>
    </row>
    <row r="119" spans="1:8" s="35" customFormat="1" ht="11.25" x14ac:dyDescent="0.25">
      <c r="A119" s="405" t="s">
        <v>38</v>
      </c>
      <c r="B119" s="405" t="s">
        <v>223</v>
      </c>
      <c r="C119" s="407" t="s">
        <v>679</v>
      </c>
      <c r="D119" s="1410">
        <v>826757</v>
      </c>
      <c r="E119" s="405">
        <v>791566</v>
      </c>
      <c r="G119" s="1410">
        <v>814772</v>
      </c>
      <c r="H119" s="405">
        <v>778323</v>
      </c>
    </row>
    <row r="120" spans="1:8" s="35" customFormat="1" ht="11.25" x14ac:dyDescent="0.25">
      <c r="A120" s="405" t="s">
        <v>25</v>
      </c>
      <c r="B120" s="405" t="s">
        <v>212</v>
      </c>
      <c r="C120" s="407" t="s">
        <v>680</v>
      </c>
      <c r="D120" s="1410">
        <v>8084</v>
      </c>
      <c r="E120" s="405">
        <v>11586</v>
      </c>
      <c r="G120" s="1410">
        <v>8084</v>
      </c>
      <c r="H120" s="405">
        <v>11586</v>
      </c>
    </row>
    <row r="121" spans="1:8" s="35" customFormat="1" ht="12" thickBot="1" x14ac:dyDescent="0.3">
      <c r="A121" s="833" t="s">
        <v>43</v>
      </c>
      <c r="B121" s="833" t="s">
        <v>227</v>
      </c>
      <c r="C121" s="834"/>
      <c r="D121" s="1411">
        <v>50431</v>
      </c>
      <c r="E121" s="833">
        <v>38516</v>
      </c>
      <c r="G121" s="1411">
        <v>26564</v>
      </c>
      <c r="H121" s="833">
        <v>15836</v>
      </c>
    </row>
    <row r="122" spans="1:8" s="35" customFormat="1" ht="12" thickBot="1" x14ac:dyDescent="0.3">
      <c r="A122" s="673" t="s">
        <v>77</v>
      </c>
      <c r="B122" s="673" t="s">
        <v>1337</v>
      </c>
      <c r="C122" s="672"/>
      <c r="D122" s="939">
        <v>1568834</v>
      </c>
      <c r="E122" s="673">
        <v>1482518</v>
      </c>
      <c r="G122" s="939">
        <v>1266562</v>
      </c>
      <c r="H122" s="673">
        <v>1027325</v>
      </c>
    </row>
    <row r="123" spans="1:8" s="35" customFormat="1" ht="11.25" x14ac:dyDescent="0.25">
      <c r="A123" s="291"/>
      <c r="B123" s="291"/>
      <c r="C123" s="414"/>
      <c r="D123" s="291"/>
      <c r="E123" s="291"/>
      <c r="F123" s="411"/>
      <c r="G123" s="291"/>
      <c r="H123" s="291"/>
    </row>
    <row r="124" spans="1:8" s="35" customFormat="1" ht="11.25" x14ac:dyDescent="0.25"/>
  </sheetData>
  <sheetProtection algorithmName="SHA-512" hashValue="ht5Wgewlue9Bq+g7u5hcxtY1OkBv1b8bFQGNWQN4Mcvl6M3MngJjbH6EF36eIxaJLqsXi+ZApb7frsbhzKu/EQ==" saltValue="qJdFUiwVqIK8HoZaz4VU/w==" spinCount="100000" sheet="1" objects="1" scenarios="1"/>
  <mergeCells count="67">
    <mergeCell ref="C84:C85"/>
    <mergeCell ref="C8:C9"/>
    <mergeCell ref="A8:A11"/>
    <mergeCell ref="B8:B11"/>
    <mergeCell ref="A84:A85"/>
    <mergeCell ref="B84:B85"/>
    <mergeCell ref="A42:A45"/>
    <mergeCell ref="B42:B45"/>
    <mergeCell ref="C96:C97"/>
    <mergeCell ref="A112:A113"/>
    <mergeCell ref="B112:B113"/>
    <mergeCell ref="C112:C113"/>
    <mergeCell ref="D112:E112"/>
    <mergeCell ref="A96:A97"/>
    <mergeCell ref="B96:B97"/>
    <mergeCell ref="G96:H96"/>
    <mergeCell ref="D96:E96"/>
    <mergeCell ref="G112:H112"/>
    <mergeCell ref="I10:I11"/>
    <mergeCell ref="G10:G11"/>
    <mergeCell ref="D84:E84"/>
    <mergeCell ref="G84:H84"/>
    <mergeCell ref="F10:F11"/>
    <mergeCell ref="H42:H43"/>
    <mergeCell ref="H10:H11"/>
    <mergeCell ref="D8:D9"/>
    <mergeCell ref="C10:C11"/>
    <mergeCell ref="D10:D11"/>
    <mergeCell ref="E10:E11"/>
    <mergeCell ref="G42:G43"/>
    <mergeCell ref="E8:E9"/>
    <mergeCell ref="D42:D43"/>
    <mergeCell ref="E42:E43"/>
    <mergeCell ref="G8:G9"/>
    <mergeCell ref="F8:F9"/>
    <mergeCell ref="H8:H9"/>
    <mergeCell ref="N44:N45"/>
    <mergeCell ref="C41:H41"/>
    <mergeCell ref="K41:N41"/>
    <mergeCell ref="H44:H45"/>
    <mergeCell ref="K44:K45"/>
    <mergeCell ref="L44:L45"/>
    <mergeCell ref="M44:M45"/>
    <mergeCell ref="C44:C45"/>
    <mergeCell ref="D44:D45"/>
    <mergeCell ref="E44:E45"/>
    <mergeCell ref="F44:F45"/>
    <mergeCell ref="G44:G45"/>
    <mergeCell ref="F42:F43"/>
    <mergeCell ref="N42:N43"/>
    <mergeCell ref="L42:L43"/>
    <mergeCell ref="M42:M43"/>
    <mergeCell ref="K42:K43"/>
    <mergeCell ref="K7:O7"/>
    <mergeCell ref="C7:I7"/>
    <mergeCell ref="N8:N9"/>
    <mergeCell ref="O8:O9"/>
    <mergeCell ref="K10:K11"/>
    <mergeCell ref="L10:L11"/>
    <mergeCell ref="M10:M11"/>
    <mergeCell ref="N10:N11"/>
    <mergeCell ref="O10:O11"/>
    <mergeCell ref="K8:K9"/>
    <mergeCell ref="L8:L9"/>
    <mergeCell ref="M8:M9"/>
    <mergeCell ref="C42:C43"/>
    <mergeCell ref="I8:I9"/>
  </mergeCells>
  <pageMargins left="0.31496062992125984" right="0.31496062992125984" top="0.94488188976377963" bottom="0.9448818897637796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Key Figures</vt:lpstr>
      <vt:lpstr>Profit or Loss</vt:lpstr>
      <vt:lpstr>Financial Position</vt:lpstr>
      <vt:lpstr>Changes in Equity</vt:lpstr>
      <vt:lpstr>Cash Flows</vt:lpstr>
      <vt:lpstr>2.29. IFRS 15</vt:lpstr>
      <vt:lpstr>Note 3</vt:lpstr>
      <vt:lpstr>Note 4</vt:lpstr>
      <vt:lpstr>Note 5</vt:lpstr>
      <vt:lpstr>Note 6</vt:lpstr>
      <vt:lpstr>Note 7</vt:lpstr>
      <vt:lpstr>Notes 8-11</vt:lpstr>
      <vt:lpstr>Note 12</vt:lpstr>
      <vt:lpstr>Note 13</vt:lpstr>
      <vt:lpstr>Note 14</vt:lpstr>
      <vt:lpstr>Notes 15</vt:lpstr>
      <vt:lpstr>Note 16</vt:lpstr>
      <vt:lpstr>Notes 17-18</vt:lpstr>
      <vt:lpstr>Notes 20-21</vt:lpstr>
      <vt:lpstr>Note 21d</vt:lpstr>
      <vt:lpstr>Notes 22</vt:lpstr>
      <vt:lpstr>Note 23-24 </vt:lpstr>
      <vt:lpstr>Note 25</vt:lpstr>
      <vt:lpstr>'Notes 17-18'!OLE_LINK4</vt:lpstr>
      <vt:lpstr>'Financial Position'!Print_Area</vt:lpstr>
      <vt:lpstr>'Financial Position'!Print_Titles</vt:lpstr>
      <vt:lpstr>'Notes 17-18'!Print_Titles</vt:lpstr>
    </vt:vector>
  </TitlesOfParts>
  <Company>LATVENERGO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lkeldere</dc:creator>
  <cp:lastModifiedBy>Dace Pole</cp:lastModifiedBy>
  <cp:lastPrinted>2018-04-18T10:56:12Z</cp:lastPrinted>
  <dcterms:created xsi:type="dcterms:W3CDTF">2013-04-24T10:03:56Z</dcterms:created>
  <dcterms:modified xsi:type="dcterms:W3CDTF">2018-04-18T12:19:14Z</dcterms:modified>
</cp:coreProperties>
</file>